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925" firstSheet="1" activeTab="1"/>
  </bookViews>
  <sheets>
    <sheet name="사업개요" sheetId="9" state="hidden" r:id="rId1"/>
    <sheet name="사업자작성1(호별개요)" sheetId="16" r:id="rId2"/>
    <sheet name="사업자작성2(건축사업비산출)" sheetId="17" r:id="rId3"/>
    <sheet name="사업자작성3(전체사업비산출)" sheetId="14" r:id="rId4"/>
    <sheet name="캐시플로우" sheetId="12" r:id="rId5"/>
  </sheets>
  <definedNames>
    <definedName name="_xlnm.Print_Area" localSheetId="4">캐시플로우!$A$1:$AG$72</definedName>
  </definedNames>
  <calcPr calcId="145621" iterate="1"/>
</workbook>
</file>

<file path=xl/calcChain.xml><?xml version="1.0" encoding="utf-8"?>
<calcChain xmlns="http://schemas.openxmlformats.org/spreadsheetml/2006/main">
  <c r="E15" i="17" l="1"/>
  <c r="E45" i="17"/>
  <c r="E47" i="17" s="1"/>
  <c r="E55" i="17" s="1"/>
  <c r="E54" i="17"/>
  <c r="C10" i="9"/>
  <c r="D10" i="9" s="1"/>
  <c r="I10" i="9"/>
  <c r="I12" i="9" s="1"/>
  <c r="E56" i="17" l="1"/>
  <c r="J10" i="9"/>
  <c r="E62" i="17" l="1"/>
  <c r="E63" i="17" s="1"/>
  <c r="F19" i="14" s="1"/>
  <c r="C18" i="14" l="1"/>
  <c r="F20" i="14" s="1"/>
  <c r="U3" i="9" s="1"/>
  <c r="C12" i="9"/>
  <c r="D12" i="9" s="1"/>
  <c r="C11" i="9"/>
  <c r="D11" i="9" s="1"/>
  <c r="C13" i="9"/>
  <c r="D13" i="9" s="1"/>
  <c r="U4" i="9" l="1"/>
  <c r="C20" i="9" s="1"/>
  <c r="L31" i="9" l="1"/>
  <c r="J31" i="9" s="1"/>
  <c r="L30" i="9"/>
  <c r="J30" i="9" s="1"/>
  <c r="C12" i="14"/>
  <c r="E24" i="17"/>
  <c r="E17" i="17"/>
  <c r="AW26" i="16"/>
  <c r="AW27" i="16"/>
  <c r="AW28" i="16"/>
  <c r="AW29" i="16"/>
  <c r="AW30" i="16"/>
  <c r="AW31" i="16"/>
  <c r="AW32" i="16"/>
  <c r="AW33" i="16"/>
  <c r="AW34" i="16"/>
  <c r="AW35" i="16"/>
  <c r="AW36" i="16"/>
  <c r="AE26" i="16"/>
  <c r="AJ26" i="16" s="1"/>
  <c r="AE27" i="16"/>
  <c r="AJ27" i="16" s="1"/>
  <c r="AE28" i="16"/>
  <c r="AJ28" i="16" s="1"/>
  <c r="AE29" i="16"/>
  <c r="AJ29" i="16" s="1"/>
  <c r="AE30" i="16"/>
  <c r="AJ30" i="16" s="1"/>
  <c r="AE31" i="16"/>
  <c r="AJ31" i="16" s="1"/>
  <c r="AE32" i="16"/>
  <c r="AJ32" i="16" s="1"/>
  <c r="AE33" i="16"/>
  <c r="AJ33" i="16" s="1"/>
  <c r="AE34" i="16"/>
  <c r="AJ34" i="16" s="1"/>
  <c r="AE35" i="16"/>
  <c r="AJ35" i="16" s="1"/>
  <c r="AE36" i="16"/>
  <c r="AJ36" i="16" s="1"/>
  <c r="Z9" i="16"/>
  <c r="Z10" i="16" s="1"/>
  <c r="Z11" i="16" s="1"/>
  <c r="Z12" i="16" s="1"/>
  <c r="Z13" i="16" s="1"/>
  <c r="Z14" i="16" s="1"/>
  <c r="Z15" i="16" s="1"/>
  <c r="Z16" i="16" s="1"/>
  <c r="Z17" i="16" s="1"/>
  <c r="Z18" i="16" s="1"/>
  <c r="Z19" i="16" s="1"/>
  <c r="Z20" i="16" s="1"/>
  <c r="Z21" i="16" s="1"/>
  <c r="Z22" i="16" s="1"/>
  <c r="Z23" i="16" s="1"/>
  <c r="Z24" i="16" s="1"/>
  <c r="Z25" i="16" s="1"/>
  <c r="Z26" i="16" s="1"/>
  <c r="Z27" i="16" s="1"/>
  <c r="Z28" i="16" s="1"/>
  <c r="Z29" i="16" s="1"/>
  <c r="Z30" i="16" s="1"/>
  <c r="Z31" i="16" s="1"/>
  <c r="Z32" i="16" s="1"/>
  <c r="Z33" i="16" s="1"/>
  <c r="Z34" i="16" s="1"/>
  <c r="Z35" i="16" s="1"/>
  <c r="Z36" i="16" s="1"/>
  <c r="Y9" i="16"/>
  <c r="Y10" i="16" s="1"/>
  <c r="Y11" i="16" s="1"/>
  <c r="Y12" i="16" s="1"/>
  <c r="Y13" i="16" s="1"/>
  <c r="Y14" i="16" s="1"/>
  <c r="Y15" i="16" s="1"/>
  <c r="Y16" i="16" s="1"/>
  <c r="Y17" i="16" s="1"/>
  <c r="Y18" i="16" s="1"/>
  <c r="Y19" i="16" s="1"/>
  <c r="Y20" i="16" s="1"/>
  <c r="Y21" i="16" s="1"/>
  <c r="Y22" i="16" s="1"/>
  <c r="Y23" i="16" s="1"/>
  <c r="Y24" i="16" s="1"/>
  <c r="Y25" i="16" s="1"/>
  <c r="Y26" i="16" s="1"/>
  <c r="Y27" i="16" s="1"/>
  <c r="Y28" i="16" s="1"/>
  <c r="Y29" i="16" s="1"/>
  <c r="Y30" i="16" s="1"/>
  <c r="Y31" i="16" s="1"/>
  <c r="Y32" i="16" s="1"/>
  <c r="Y33" i="16" s="1"/>
  <c r="Y34" i="16" s="1"/>
  <c r="Y35" i="16" s="1"/>
  <c r="Y36" i="16" s="1"/>
  <c r="N9" i="16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E25" i="17" l="1"/>
  <c r="E26" i="17"/>
  <c r="E32" i="17" l="1"/>
  <c r="I21" i="9" l="1"/>
  <c r="E33" i="17" l="1"/>
  <c r="F15" i="14"/>
  <c r="F14" i="14"/>
  <c r="E77" i="16"/>
  <c r="C10" i="14" s="1"/>
  <c r="F17" i="14" l="1"/>
  <c r="O9" i="9" s="1"/>
  <c r="E40" i="16"/>
  <c r="AG37" i="12" l="1"/>
  <c r="C8" i="14"/>
  <c r="P20" i="9"/>
  <c r="S49" i="16"/>
  <c r="AE21" i="16" l="1"/>
  <c r="AJ21" i="16" s="1"/>
  <c r="AW21" i="16"/>
  <c r="AE22" i="16"/>
  <c r="AW22" i="16"/>
  <c r="AE23" i="16"/>
  <c r="AJ23" i="16" s="1"/>
  <c r="AW23" i="16"/>
  <c r="AE24" i="16"/>
  <c r="AJ24" i="16" s="1"/>
  <c r="AW24" i="16"/>
  <c r="AE25" i="16"/>
  <c r="AJ25" i="16" s="1"/>
  <c r="AW25" i="16"/>
  <c r="AJ22" i="16" l="1"/>
  <c r="D5" i="12"/>
  <c r="J5" i="12" l="1"/>
  <c r="F5" i="12"/>
  <c r="R5" i="12" s="1"/>
  <c r="P5" i="12"/>
  <c r="N5" i="12"/>
  <c r="H5" i="12"/>
  <c r="L5" i="12"/>
  <c r="J20" i="9"/>
  <c r="O22" i="9"/>
  <c r="I26" i="9"/>
  <c r="I22" i="9"/>
  <c r="I18" i="9"/>
  <c r="O7" i="9"/>
  <c r="O6" i="9"/>
  <c r="S40" i="16" l="1"/>
  <c r="I8" i="16"/>
  <c r="I45" i="16" s="1"/>
  <c r="I46" i="16" s="1"/>
  <c r="P48" i="16"/>
  <c r="O48" i="16"/>
  <c r="I47" i="16" l="1"/>
  <c r="I48" i="16" s="1"/>
  <c r="Q48" i="16" s="1"/>
  <c r="M48" i="16" s="1"/>
  <c r="L48" i="16" s="1"/>
  <c r="Y48" i="16" s="1"/>
  <c r="AB48" i="16" s="1"/>
  <c r="Q46" i="16"/>
  <c r="M46" i="16" s="1"/>
  <c r="L46" i="16" s="1"/>
  <c r="Y46" i="16" s="1"/>
  <c r="AB46" i="16" s="1"/>
  <c r="I9" i="16" l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E49" i="16"/>
  <c r="D49" i="16"/>
  <c r="S45" i="16" s="1"/>
  <c r="C49" i="16"/>
  <c r="BK25" i="16"/>
  <c r="BK32" i="16"/>
  <c r="BK35" i="16"/>
  <c r="BK36" i="16"/>
  <c r="BK37" i="16"/>
  <c r="Q21" i="16" l="1"/>
  <c r="I22" i="16"/>
  <c r="S47" i="16"/>
  <c r="S46" i="16"/>
  <c r="T45" i="16"/>
  <c r="S48" i="16"/>
  <c r="C9" i="14"/>
  <c r="C6" i="14" s="1"/>
  <c r="Q47" i="16"/>
  <c r="P47" i="16"/>
  <c r="O47" i="16"/>
  <c r="Q45" i="16"/>
  <c r="D40" i="16"/>
  <c r="C40" i="16"/>
  <c r="I17" i="9" s="1"/>
  <c r="BK20" i="16"/>
  <c r="AW20" i="16"/>
  <c r="AE20" i="16"/>
  <c r="AJ20" i="16" s="1"/>
  <c r="Q20" i="16"/>
  <c r="BK19" i="16"/>
  <c r="AW19" i="16"/>
  <c r="AE19" i="16"/>
  <c r="AJ19" i="16" s="1"/>
  <c r="Q19" i="16"/>
  <c r="BK18" i="16"/>
  <c r="AW18" i="16"/>
  <c r="AE18" i="16"/>
  <c r="AJ18" i="16" s="1"/>
  <c r="Q18" i="16"/>
  <c r="BK17" i="16"/>
  <c r="AW17" i="16"/>
  <c r="AE17" i="16"/>
  <c r="AJ17" i="16" s="1"/>
  <c r="Q17" i="16"/>
  <c r="BK16" i="16"/>
  <c r="AW16" i="16"/>
  <c r="AE16" i="16"/>
  <c r="AJ16" i="16" s="1"/>
  <c r="Q16" i="16"/>
  <c r="AW15" i="16"/>
  <c r="AE15" i="16"/>
  <c r="Q15" i="16"/>
  <c r="AW14" i="16"/>
  <c r="AE14" i="16"/>
  <c r="AJ14" i="16" s="1"/>
  <c r="Q14" i="16"/>
  <c r="AW13" i="16"/>
  <c r="AE13" i="16"/>
  <c r="AJ13" i="16" s="1"/>
  <c r="Q13" i="16"/>
  <c r="AW12" i="16"/>
  <c r="AE12" i="16"/>
  <c r="AJ12" i="16" s="1"/>
  <c r="Q12" i="16"/>
  <c r="BO11" i="16"/>
  <c r="BP11" i="16" s="1"/>
  <c r="BK11" i="16"/>
  <c r="AW11" i="16"/>
  <c r="AE11" i="16"/>
  <c r="Q11" i="16"/>
  <c r="BO10" i="16"/>
  <c r="BP10" i="16" s="1"/>
  <c r="BK10" i="16"/>
  <c r="AW10" i="16"/>
  <c r="AE10" i="16"/>
  <c r="Q10" i="16"/>
  <c r="BO9" i="16"/>
  <c r="BP9" i="16" s="1"/>
  <c r="BK9" i="16"/>
  <c r="AW9" i="16"/>
  <c r="AE9" i="16"/>
  <c r="Q9" i="16"/>
  <c r="P9" i="16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36" i="16" s="1"/>
  <c r="O9" i="16"/>
  <c r="O10" i="16" s="1"/>
  <c r="O11" i="16" s="1"/>
  <c r="O12" i="16" s="1"/>
  <c r="O13" i="16" s="1"/>
  <c r="O14" i="16" s="1"/>
  <c r="O15" i="16" s="1"/>
  <c r="O16" i="16" s="1"/>
  <c r="O17" i="16" s="1"/>
  <c r="O18" i="16" s="1"/>
  <c r="O19" i="16" s="1"/>
  <c r="O20" i="16" s="1"/>
  <c r="O21" i="16" s="1"/>
  <c r="AW8" i="16"/>
  <c r="AE8" i="16"/>
  <c r="AJ8" i="16" s="1"/>
  <c r="Q8" i="16"/>
  <c r="M8" i="16" s="1"/>
  <c r="L8" i="16" s="1"/>
  <c r="AQ8" i="16" s="1"/>
  <c r="F10" i="16" l="1"/>
  <c r="F12" i="16"/>
  <c r="F14" i="16"/>
  <c r="F16" i="16"/>
  <c r="F18" i="16"/>
  <c r="F20" i="16"/>
  <c r="F22" i="16"/>
  <c r="F24" i="16"/>
  <c r="F26" i="16"/>
  <c r="F28" i="16"/>
  <c r="F30" i="16"/>
  <c r="F32" i="16"/>
  <c r="F34" i="16"/>
  <c r="F36" i="16"/>
  <c r="F9" i="16"/>
  <c r="F11" i="16"/>
  <c r="F13" i="16"/>
  <c r="F15" i="16"/>
  <c r="F17" i="16"/>
  <c r="F19" i="16"/>
  <c r="F21" i="16"/>
  <c r="F23" i="16"/>
  <c r="F25" i="16"/>
  <c r="F27" i="16"/>
  <c r="F29" i="16"/>
  <c r="F31" i="16"/>
  <c r="F33" i="16"/>
  <c r="F35" i="16"/>
  <c r="F8" i="16"/>
  <c r="S33" i="16"/>
  <c r="S34" i="16"/>
  <c r="S35" i="16"/>
  <c r="S36" i="16"/>
  <c r="S30" i="16"/>
  <c r="S32" i="16"/>
  <c r="S26" i="16"/>
  <c r="S27" i="16"/>
  <c r="S28" i="16"/>
  <c r="S29" i="16"/>
  <c r="S31" i="16"/>
  <c r="I31" i="9"/>
  <c r="I30" i="9"/>
  <c r="O22" i="16"/>
  <c r="M21" i="16"/>
  <c r="L21" i="16" s="1"/>
  <c r="AQ21" i="16" s="1"/>
  <c r="I23" i="16"/>
  <c r="Q22" i="16"/>
  <c r="F11" i="14"/>
  <c r="S20" i="16"/>
  <c r="T20" i="16" s="1"/>
  <c r="S24" i="16"/>
  <c r="S21" i="16"/>
  <c r="S23" i="16"/>
  <c r="S25" i="16"/>
  <c r="S22" i="16"/>
  <c r="S16" i="16"/>
  <c r="W16" i="16" s="1"/>
  <c r="AA16" i="16" s="1"/>
  <c r="AB16" i="16" s="1"/>
  <c r="S12" i="16"/>
  <c r="W12" i="16" s="1"/>
  <c r="AA12" i="16" s="1"/>
  <c r="M45" i="16"/>
  <c r="L45" i="16" s="1"/>
  <c r="M47" i="16"/>
  <c r="L47" i="16" s="1"/>
  <c r="Y47" i="16" s="1"/>
  <c r="AB47" i="16" s="1"/>
  <c r="S8" i="16"/>
  <c r="T8" i="16" s="1"/>
  <c r="S18" i="16"/>
  <c r="S9" i="16"/>
  <c r="S11" i="16"/>
  <c r="S10" i="16"/>
  <c r="S14" i="16"/>
  <c r="AJ9" i="16"/>
  <c r="BQ10" i="16"/>
  <c r="BQ11" i="16"/>
  <c r="BQ9" i="16"/>
  <c r="AJ11" i="16"/>
  <c r="M9" i="16"/>
  <c r="L9" i="16" s="1"/>
  <c r="AJ15" i="16"/>
  <c r="AJ10" i="16"/>
  <c r="S19" i="16"/>
  <c r="S15" i="16"/>
  <c r="S13" i="16"/>
  <c r="S17" i="16"/>
  <c r="W31" i="16" l="1"/>
  <c r="AA31" i="16" s="1"/>
  <c r="T31" i="16"/>
  <c r="U31" i="16" s="1"/>
  <c r="V31" i="16" s="1"/>
  <c r="T28" i="16"/>
  <c r="U28" i="16" s="1"/>
  <c r="V28" i="16" s="1"/>
  <c r="W28" i="16"/>
  <c r="AA28" i="16" s="1"/>
  <c r="W26" i="16"/>
  <c r="AA26" i="16" s="1"/>
  <c r="T26" i="16"/>
  <c r="U26" i="16" s="1"/>
  <c r="V26" i="16" s="1"/>
  <c r="T30" i="16"/>
  <c r="U30" i="16" s="1"/>
  <c r="V30" i="16" s="1"/>
  <c r="W30" i="16"/>
  <c r="AA30" i="16" s="1"/>
  <c r="W35" i="16"/>
  <c r="AA35" i="16" s="1"/>
  <c r="T35" i="16"/>
  <c r="U35" i="16" s="1"/>
  <c r="V35" i="16" s="1"/>
  <c r="W33" i="16"/>
  <c r="AA33" i="16" s="1"/>
  <c r="T33" i="16"/>
  <c r="U33" i="16" s="1"/>
  <c r="V33" i="16" s="1"/>
  <c r="T29" i="16"/>
  <c r="U29" i="16" s="1"/>
  <c r="V29" i="16" s="1"/>
  <c r="W29" i="16"/>
  <c r="AA29" i="16" s="1"/>
  <c r="W27" i="16"/>
  <c r="AA27" i="16" s="1"/>
  <c r="T27" i="16"/>
  <c r="U27" i="16" s="1"/>
  <c r="V27" i="16" s="1"/>
  <c r="W32" i="16"/>
  <c r="AA32" i="16" s="1"/>
  <c r="T32" i="16"/>
  <c r="U32" i="16" s="1"/>
  <c r="V32" i="16" s="1"/>
  <c r="T36" i="16"/>
  <c r="U36" i="16" s="1"/>
  <c r="V36" i="16" s="1"/>
  <c r="W36" i="16"/>
  <c r="AA36" i="16" s="1"/>
  <c r="W34" i="16"/>
  <c r="AA34" i="16" s="1"/>
  <c r="T34" i="16"/>
  <c r="U34" i="16" s="1"/>
  <c r="V34" i="16" s="1"/>
  <c r="F40" i="16"/>
  <c r="I24" i="16"/>
  <c r="Q23" i="16"/>
  <c r="O23" i="16"/>
  <c r="M22" i="16"/>
  <c r="L22" i="16" s="1"/>
  <c r="AQ22" i="16" s="1"/>
  <c r="W20" i="16"/>
  <c r="AA20" i="16" s="1"/>
  <c r="AC20" i="16" s="1"/>
  <c r="T23" i="16"/>
  <c r="W23" i="16"/>
  <c r="AA23" i="16" s="1"/>
  <c r="W22" i="16"/>
  <c r="AA22" i="16" s="1"/>
  <c r="T22" i="16"/>
  <c r="T21" i="16"/>
  <c r="W21" i="16"/>
  <c r="AA21" i="16" s="1"/>
  <c r="T24" i="16"/>
  <c r="W24" i="16"/>
  <c r="AA24" i="16" s="1"/>
  <c r="T12" i="16"/>
  <c r="U12" i="16" s="1"/>
  <c r="V12" i="16" s="1"/>
  <c r="W25" i="16"/>
  <c r="AA25" i="16" s="1"/>
  <c r="T25" i="16"/>
  <c r="T16" i="16"/>
  <c r="U16" i="16" s="1"/>
  <c r="V16" i="16" s="1"/>
  <c r="AI12" i="16"/>
  <c r="AK12" i="16" s="1"/>
  <c r="AL12" i="16" s="1"/>
  <c r="BC12" i="16" s="1"/>
  <c r="AC12" i="16"/>
  <c r="AB12" i="16"/>
  <c r="T9" i="16"/>
  <c r="W9" i="16"/>
  <c r="AA9" i="16" s="1"/>
  <c r="T19" i="16"/>
  <c r="W19" i="16"/>
  <c r="AA19" i="16" s="1"/>
  <c r="U8" i="16"/>
  <c r="V8" i="16" s="1"/>
  <c r="W18" i="16"/>
  <c r="AA18" i="16" s="1"/>
  <c r="AB18" i="16" s="1"/>
  <c r="T18" i="16"/>
  <c r="AC16" i="16"/>
  <c r="AD16" i="16" s="1"/>
  <c r="AF16" i="16" s="1"/>
  <c r="BB16" i="16" s="1"/>
  <c r="T13" i="16"/>
  <c r="W13" i="16"/>
  <c r="AA13" i="16" s="1"/>
  <c r="AI16" i="16"/>
  <c r="AK16" i="16" s="1"/>
  <c r="AL16" i="16" s="1"/>
  <c r="BC16" i="16" s="1"/>
  <c r="T17" i="16"/>
  <c r="W17" i="16"/>
  <c r="AA17" i="16" s="1"/>
  <c r="T14" i="16"/>
  <c r="W14" i="16"/>
  <c r="AA14" i="16" s="1"/>
  <c r="W10" i="16"/>
  <c r="AA10" i="16" s="1"/>
  <c r="T10" i="16"/>
  <c r="T15" i="16"/>
  <c r="W15" i="16"/>
  <c r="AA15" i="16" s="1"/>
  <c r="W8" i="16"/>
  <c r="AA8" i="16" s="1"/>
  <c r="T11" i="16"/>
  <c r="W11" i="16"/>
  <c r="AA11" i="16" s="1"/>
  <c r="U20" i="16"/>
  <c r="V20" i="16" s="1"/>
  <c r="L49" i="16"/>
  <c r="Y45" i="16"/>
  <c r="M10" i="16"/>
  <c r="L10" i="16" s="1"/>
  <c r="AQ10" i="16" s="1"/>
  <c r="AQ9" i="16"/>
  <c r="AB36" i="16" l="1"/>
  <c r="AC36" i="16"/>
  <c r="AI36" i="16"/>
  <c r="AK36" i="16" s="1"/>
  <c r="AL36" i="16" s="1"/>
  <c r="BC36" i="16" s="1"/>
  <c r="AC29" i="16"/>
  <c r="AI29" i="16"/>
  <c r="AK29" i="16" s="1"/>
  <c r="AL29" i="16" s="1"/>
  <c r="BC29" i="16" s="1"/>
  <c r="AB29" i="16"/>
  <c r="AC30" i="16"/>
  <c r="AI30" i="16"/>
  <c r="AK30" i="16" s="1"/>
  <c r="AL30" i="16" s="1"/>
  <c r="BC30" i="16" s="1"/>
  <c r="AB30" i="16"/>
  <c r="AD30" i="16" s="1"/>
  <c r="AB28" i="16"/>
  <c r="AI28" i="16"/>
  <c r="AK28" i="16" s="1"/>
  <c r="AL28" i="16" s="1"/>
  <c r="BC28" i="16" s="1"/>
  <c r="AC28" i="16"/>
  <c r="AC34" i="16"/>
  <c r="AB34" i="16"/>
  <c r="AD34" i="16" s="1"/>
  <c r="AI34" i="16"/>
  <c r="AK34" i="16" s="1"/>
  <c r="AL34" i="16" s="1"/>
  <c r="BC34" i="16" s="1"/>
  <c r="AI32" i="16"/>
  <c r="AK32" i="16" s="1"/>
  <c r="AL32" i="16" s="1"/>
  <c r="BC32" i="16" s="1"/>
  <c r="AC32" i="16"/>
  <c r="AB32" i="16"/>
  <c r="AD32" i="16" s="1"/>
  <c r="AI27" i="16"/>
  <c r="AK27" i="16" s="1"/>
  <c r="AL27" i="16" s="1"/>
  <c r="BC27" i="16" s="1"/>
  <c r="AB27" i="16"/>
  <c r="AC27" i="16"/>
  <c r="AC33" i="16"/>
  <c r="AB33" i="16"/>
  <c r="AI33" i="16"/>
  <c r="AK33" i="16" s="1"/>
  <c r="AL33" i="16" s="1"/>
  <c r="BC33" i="16" s="1"/>
  <c r="AC35" i="16"/>
  <c r="AI35" i="16"/>
  <c r="AK35" i="16" s="1"/>
  <c r="AL35" i="16" s="1"/>
  <c r="BC35" i="16" s="1"/>
  <c r="AB35" i="16"/>
  <c r="AB26" i="16"/>
  <c r="AI26" i="16"/>
  <c r="AK26" i="16" s="1"/>
  <c r="AL26" i="16" s="1"/>
  <c r="BC26" i="16" s="1"/>
  <c r="AC26" i="16"/>
  <c r="AI31" i="16"/>
  <c r="AK31" i="16" s="1"/>
  <c r="AL31" i="16" s="1"/>
  <c r="BC31" i="16" s="1"/>
  <c r="AC31" i="16"/>
  <c r="AB31" i="16"/>
  <c r="AB20" i="16"/>
  <c r="AI20" i="16"/>
  <c r="O24" i="16"/>
  <c r="M23" i="16"/>
  <c r="L23" i="16" s="1"/>
  <c r="AQ23" i="16" s="1"/>
  <c r="I25" i="16"/>
  <c r="I26" i="16" s="1"/>
  <c r="Q24" i="16"/>
  <c r="AC18" i="16"/>
  <c r="AD18" i="16" s="1"/>
  <c r="AF18" i="16" s="1"/>
  <c r="BB18" i="16" s="1"/>
  <c r="AD12" i="16"/>
  <c r="AF12" i="16" s="1"/>
  <c r="BB12" i="16" s="1"/>
  <c r="AI24" i="16"/>
  <c r="AB24" i="16"/>
  <c r="AC24" i="16"/>
  <c r="U22" i="16"/>
  <c r="V22" i="16" s="1"/>
  <c r="U24" i="16"/>
  <c r="V24" i="16" s="1"/>
  <c r="AI22" i="16"/>
  <c r="AB22" i="16"/>
  <c r="AC22" i="16"/>
  <c r="AB23" i="16"/>
  <c r="AC23" i="16"/>
  <c r="AI23" i="16"/>
  <c r="U23" i="16"/>
  <c r="V23" i="16" s="1"/>
  <c r="U25" i="16"/>
  <c r="V25" i="16" s="1"/>
  <c r="AC25" i="16"/>
  <c r="AB25" i="16"/>
  <c r="AI25" i="16"/>
  <c r="U21" i="16"/>
  <c r="V21" i="16" s="1"/>
  <c r="AC21" i="16"/>
  <c r="AI21" i="16"/>
  <c r="AB21" i="16"/>
  <c r="AI18" i="16"/>
  <c r="AK18" i="16" s="1"/>
  <c r="AL18" i="16" s="1"/>
  <c r="BC18" i="16" s="1"/>
  <c r="AD20" i="16"/>
  <c r="AF20" i="16" s="1"/>
  <c r="BB20" i="16" s="1"/>
  <c r="AC11" i="16"/>
  <c r="AB11" i="16"/>
  <c r="AI11" i="16"/>
  <c r="AK11" i="16" s="1"/>
  <c r="AL11" i="16" s="1"/>
  <c r="BC11" i="16" s="1"/>
  <c r="U15" i="16"/>
  <c r="V15" i="16" s="1"/>
  <c r="U18" i="16"/>
  <c r="V18" i="16" s="1"/>
  <c r="U9" i="16"/>
  <c r="V9" i="16" s="1"/>
  <c r="U10" i="16"/>
  <c r="V10" i="16" s="1"/>
  <c r="U17" i="16"/>
  <c r="V17" i="16" s="1"/>
  <c r="U14" i="16"/>
  <c r="V14" i="16" s="1"/>
  <c r="U19" i="16"/>
  <c r="V19" i="16" s="1"/>
  <c r="AI14" i="16"/>
  <c r="AK14" i="16" s="1"/>
  <c r="AL14" i="16" s="1"/>
  <c r="BC14" i="16" s="1"/>
  <c r="AC14" i="16"/>
  <c r="AB14" i="16"/>
  <c r="U11" i="16"/>
  <c r="V11" i="16" s="1"/>
  <c r="U13" i="16"/>
  <c r="V13" i="16" s="1"/>
  <c r="Y49" i="16"/>
  <c r="AB45" i="16"/>
  <c r="AB49" i="16" s="1"/>
  <c r="AB9" i="16"/>
  <c r="AI9" i="16"/>
  <c r="AC9" i="16"/>
  <c r="T40" i="16"/>
  <c r="S55" i="16" s="1"/>
  <c r="AC10" i="16"/>
  <c r="AB10" i="16"/>
  <c r="AI10" i="16"/>
  <c r="AK10" i="16" s="1"/>
  <c r="AL10" i="16" s="1"/>
  <c r="BC10" i="16" s="1"/>
  <c r="AB13" i="16"/>
  <c r="AI13" i="16"/>
  <c r="AC13" i="16"/>
  <c r="AC19" i="16"/>
  <c r="AB19" i="16"/>
  <c r="AI19" i="16"/>
  <c r="W40" i="16"/>
  <c r="I19" i="9" s="1"/>
  <c r="AC17" i="16"/>
  <c r="AB17" i="16"/>
  <c r="AI17" i="16"/>
  <c r="AC15" i="16"/>
  <c r="AI15" i="16"/>
  <c r="AB15" i="16"/>
  <c r="AG16" i="16"/>
  <c r="AC8" i="16"/>
  <c r="AB8" i="16"/>
  <c r="AI8" i="16"/>
  <c r="AK20" i="16"/>
  <c r="AL20" i="16" s="1"/>
  <c r="BC20" i="16" s="1"/>
  <c r="M11" i="16"/>
  <c r="L11" i="16" s="1"/>
  <c r="AD27" i="16" l="1"/>
  <c r="AD35" i="16"/>
  <c r="AD31" i="16"/>
  <c r="AF31" i="16" s="1"/>
  <c r="BB31" i="16" s="1"/>
  <c r="AD26" i="16"/>
  <c r="AF35" i="16"/>
  <c r="BB35" i="16" s="1"/>
  <c r="AD33" i="16"/>
  <c r="AF30" i="16"/>
  <c r="BB30" i="16" s="1"/>
  <c r="AD29" i="16"/>
  <c r="AF26" i="16"/>
  <c r="BB26" i="16" s="1"/>
  <c r="AF27" i="16"/>
  <c r="BB27" i="16" s="1"/>
  <c r="AF32" i="16"/>
  <c r="BB32" i="16" s="1"/>
  <c r="AG32" i="16"/>
  <c r="AF34" i="16"/>
  <c r="BB34" i="16" s="1"/>
  <c r="AD28" i="16"/>
  <c r="AD36" i="16"/>
  <c r="I27" i="16"/>
  <c r="Q26" i="16"/>
  <c r="M26" i="16" s="1"/>
  <c r="L26" i="16" s="1"/>
  <c r="AQ26" i="16" s="1"/>
  <c r="AG12" i="16"/>
  <c r="AN12" i="16" s="1"/>
  <c r="BD12" i="16" s="1"/>
  <c r="Q25" i="16"/>
  <c r="O25" i="16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M24" i="16"/>
  <c r="L24" i="16" s="1"/>
  <c r="AQ24" i="16" s="1"/>
  <c r="AD22" i="16"/>
  <c r="AF22" i="16" s="1"/>
  <c r="BB22" i="16" s="1"/>
  <c r="AD23" i="16"/>
  <c r="AF23" i="16" s="1"/>
  <c r="BB23" i="16" s="1"/>
  <c r="AD24" i="16"/>
  <c r="AF24" i="16" s="1"/>
  <c r="BB24" i="16" s="1"/>
  <c r="AD21" i="16"/>
  <c r="AF21" i="16" s="1"/>
  <c r="BB21" i="16" s="1"/>
  <c r="AD25" i="16"/>
  <c r="AF25" i="16" s="1"/>
  <c r="BB25" i="16" s="1"/>
  <c r="AK24" i="16"/>
  <c r="AL24" i="16" s="1"/>
  <c r="BC24" i="16" s="1"/>
  <c r="AK25" i="16"/>
  <c r="AL25" i="16" s="1"/>
  <c r="BC25" i="16" s="1"/>
  <c r="AK23" i="16"/>
  <c r="AL23" i="16" s="1"/>
  <c r="BC23" i="16" s="1"/>
  <c r="AK21" i="16"/>
  <c r="AL21" i="16" s="1"/>
  <c r="BC21" i="16" s="1"/>
  <c r="AD14" i="16"/>
  <c r="AF14" i="16" s="1"/>
  <c r="BB14" i="16" s="1"/>
  <c r="AK22" i="16"/>
  <c r="AL22" i="16" s="1"/>
  <c r="BC22" i="16" s="1"/>
  <c r="AD11" i="16"/>
  <c r="AF11" i="16" s="1"/>
  <c r="BB11" i="16" s="1"/>
  <c r="BA12" i="16"/>
  <c r="AD10" i="16"/>
  <c r="AF10" i="16" s="1"/>
  <c r="BB10" i="16" s="1"/>
  <c r="AD8" i="16"/>
  <c r="AF8" i="16" s="1"/>
  <c r="AG8" i="16" s="1"/>
  <c r="AK9" i="16"/>
  <c r="AL9" i="16" s="1"/>
  <c r="BC9" i="16" s="1"/>
  <c r="AD9" i="16"/>
  <c r="AD17" i="16"/>
  <c r="AF17" i="16" s="1"/>
  <c r="BB17" i="16" s="1"/>
  <c r="AD19" i="16"/>
  <c r="AF19" i="16" s="1"/>
  <c r="BB19" i="16" s="1"/>
  <c r="AD15" i="16"/>
  <c r="AF15" i="16" s="1"/>
  <c r="BB15" i="16" s="1"/>
  <c r="AD13" i="16"/>
  <c r="AF13" i="16" s="1"/>
  <c r="BB13" i="16" s="1"/>
  <c r="V40" i="16"/>
  <c r="M12" i="16"/>
  <c r="L12" i="16" s="1"/>
  <c r="AQ12" i="16" s="1"/>
  <c r="AI40" i="16"/>
  <c r="AK8" i="16"/>
  <c r="AL8" i="16" s="1"/>
  <c r="AK19" i="16"/>
  <c r="AL19" i="16" s="1"/>
  <c r="BC19" i="16" s="1"/>
  <c r="BA16" i="16"/>
  <c r="AN16" i="16"/>
  <c r="BD16" i="16" s="1"/>
  <c r="AG18" i="16"/>
  <c r="AK13" i="16"/>
  <c r="AL13" i="16" s="1"/>
  <c r="BC13" i="16" s="1"/>
  <c r="AG20" i="16"/>
  <c r="AK17" i="16"/>
  <c r="AL17" i="16" s="1"/>
  <c r="BC17" i="16" s="1"/>
  <c r="AK15" i="16"/>
  <c r="AL15" i="16" s="1"/>
  <c r="BC15" i="16" s="1"/>
  <c r="U40" i="16"/>
  <c r="AQ11" i="16"/>
  <c r="AG26" i="16" l="1"/>
  <c r="AG31" i="16"/>
  <c r="BA31" i="16" s="1"/>
  <c r="AF36" i="16"/>
  <c r="BB36" i="16" s="1"/>
  <c r="AG36" i="16"/>
  <c r="BA36" i="16" s="1"/>
  <c r="BA32" i="16"/>
  <c r="AN32" i="16"/>
  <c r="BD32" i="16" s="1"/>
  <c r="BA26" i="16"/>
  <c r="AN26" i="16"/>
  <c r="BD26" i="16" s="1"/>
  <c r="AN31" i="16"/>
  <c r="BD31" i="16" s="1"/>
  <c r="AF29" i="16"/>
  <c r="BB29" i="16" s="1"/>
  <c r="AF28" i="16"/>
  <c r="BB28" i="16" s="1"/>
  <c r="AG28" i="16"/>
  <c r="AG34" i="16"/>
  <c r="AG27" i="16"/>
  <c r="AG30" i="16"/>
  <c r="AF33" i="16"/>
  <c r="BB33" i="16" s="1"/>
  <c r="AG35" i="16"/>
  <c r="I28" i="16"/>
  <c r="Q27" i="16"/>
  <c r="M27" i="16" s="1"/>
  <c r="L27" i="16" s="1"/>
  <c r="AQ27" i="16" s="1"/>
  <c r="M25" i="16"/>
  <c r="L25" i="16" s="1"/>
  <c r="AQ25" i="16" s="1"/>
  <c r="AG14" i="16"/>
  <c r="BA14" i="16" s="1"/>
  <c r="AG21" i="16"/>
  <c r="BA21" i="16" s="1"/>
  <c r="AG23" i="16"/>
  <c r="BA23" i="16" s="1"/>
  <c r="AG22" i="16"/>
  <c r="BA22" i="16" s="1"/>
  <c r="AG24" i="16"/>
  <c r="AG25" i="16"/>
  <c r="AG11" i="16"/>
  <c r="BA11" i="16" s="1"/>
  <c r="AD40" i="16"/>
  <c r="AG10" i="16"/>
  <c r="AN10" i="16" s="1"/>
  <c r="BD10" i="16" s="1"/>
  <c r="AG15" i="16"/>
  <c r="AN15" i="16" s="1"/>
  <c r="BD15" i="16" s="1"/>
  <c r="AG13" i="16"/>
  <c r="AN13" i="16" s="1"/>
  <c r="BD13" i="16" s="1"/>
  <c r="AF9" i="16"/>
  <c r="BB9" i="16" s="1"/>
  <c r="BC8" i="16"/>
  <c r="AL40" i="16"/>
  <c r="BA20" i="16"/>
  <c r="AN20" i="16"/>
  <c r="BD20" i="16" s="1"/>
  <c r="AG19" i="16"/>
  <c r="AN8" i="16"/>
  <c r="BA8" i="16"/>
  <c r="AG17" i="16"/>
  <c r="BA18" i="16"/>
  <c r="AN18" i="16"/>
  <c r="BD18" i="16" s="1"/>
  <c r="M13" i="16"/>
  <c r="L13" i="16" s="1"/>
  <c r="AK40" i="16"/>
  <c r="BB8" i="16"/>
  <c r="AG33" i="16" l="1"/>
  <c r="AN35" i="16"/>
  <c r="BD35" i="16" s="1"/>
  <c r="BA35" i="16"/>
  <c r="BA33" i="16"/>
  <c r="AN33" i="16"/>
  <c r="BD33" i="16" s="1"/>
  <c r="AN27" i="16"/>
  <c r="BD27" i="16" s="1"/>
  <c r="BA27" i="16"/>
  <c r="AN28" i="16"/>
  <c r="BD28" i="16" s="1"/>
  <c r="BA28" i="16"/>
  <c r="BA30" i="16"/>
  <c r="AN30" i="16"/>
  <c r="BD30" i="16" s="1"/>
  <c r="BA34" i="16"/>
  <c r="AN34" i="16"/>
  <c r="BD34" i="16" s="1"/>
  <c r="AG29" i="16"/>
  <c r="I29" i="16"/>
  <c r="Q28" i="16"/>
  <c r="M28" i="16" s="1"/>
  <c r="L28" i="16" s="1"/>
  <c r="AQ28" i="16" s="1"/>
  <c r="AN14" i="16"/>
  <c r="BD14" i="16" s="1"/>
  <c r="AN21" i="16"/>
  <c r="BD21" i="16" s="1"/>
  <c r="BA10" i="16"/>
  <c r="AN23" i="16"/>
  <c r="BD23" i="16" s="1"/>
  <c r="AN11" i="16"/>
  <c r="BD11" i="16" s="1"/>
  <c r="AN22" i="16"/>
  <c r="BD22" i="16" s="1"/>
  <c r="BA25" i="16"/>
  <c r="AN25" i="16"/>
  <c r="AN24" i="16"/>
  <c r="BA24" i="16"/>
  <c r="AN36" i="16"/>
  <c r="BD36" i="16" s="1"/>
  <c r="BA15" i="16"/>
  <c r="AF40" i="16"/>
  <c r="AG9" i="16"/>
  <c r="BA9" i="16" s="1"/>
  <c r="BA13" i="16"/>
  <c r="AQ13" i="16"/>
  <c r="M14" i="16"/>
  <c r="L14" i="16" s="1"/>
  <c r="AQ14" i="16" s="1"/>
  <c r="BD8" i="16"/>
  <c r="AN17" i="16"/>
  <c r="BD17" i="16" s="1"/>
  <c r="BA17" i="16"/>
  <c r="AN19" i="16"/>
  <c r="BD19" i="16" s="1"/>
  <c r="BA19" i="16"/>
  <c r="BA29" i="16" l="1"/>
  <c r="AN29" i="16"/>
  <c r="BD29" i="16" s="1"/>
  <c r="Q29" i="16"/>
  <c r="M29" i="16" s="1"/>
  <c r="L29" i="16" s="1"/>
  <c r="AQ29" i="16" s="1"/>
  <c r="I30" i="16"/>
  <c r="BD24" i="16"/>
  <c r="BD25" i="16"/>
  <c r="AN9" i="16"/>
  <c r="AG40" i="16"/>
  <c r="M15" i="16"/>
  <c r="L15" i="16" s="1"/>
  <c r="AQ15" i="16" s="1"/>
  <c r="BA40" i="16"/>
  <c r="AN40" i="16" l="1"/>
  <c r="I31" i="16"/>
  <c r="Q30" i="16"/>
  <c r="M30" i="16" s="1"/>
  <c r="L30" i="16" s="1"/>
  <c r="AQ30" i="16" s="1"/>
  <c r="BD9" i="16"/>
  <c r="M16" i="16"/>
  <c r="L16" i="16" s="1"/>
  <c r="Q31" i="16" l="1"/>
  <c r="M31" i="16" s="1"/>
  <c r="L31" i="16" s="1"/>
  <c r="AQ31" i="16" s="1"/>
  <c r="I32" i="16"/>
  <c r="AQ16" i="16"/>
  <c r="M17" i="16"/>
  <c r="L17" i="16" s="1"/>
  <c r="AQ17" i="16" s="1"/>
  <c r="Q32" i="16" l="1"/>
  <c r="M32" i="16" s="1"/>
  <c r="L32" i="16" s="1"/>
  <c r="AQ32" i="16" s="1"/>
  <c r="I33" i="16"/>
  <c r="M18" i="16"/>
  <c r="L18" i="16" s="1"/>
  <c r="AQ18" i="16" s="1"/>
  <c r="I34" i="16" l="1"/>
  <c r="Q33" i="16"/>
  <c r="M33" i="16" s="1"/>
  <c r="L33" i="16" s="1"/>
  <c r="AQ33" i="16" s="1"/>
  <c r="M19" i="16"/>
  <c r="L19" i="16" s="1"/>
  <c r="AQ19" i="16" s="1"/>
  <c r="I35" i="16" l="1"/>
  <c r="Q34" i="16"/>
  <c r="M34" i="16" s="1"/>
  <c r="L34" i="16" s="1"/>
  <c r="AQ34" i="16" s="1"/>
  <c r="M20" i="16"/>
  <c r="L20" i="16" s="1"/>
  <c r="AQ20" i="16" s="1"/>
  <c r="I36" i="16" l="1"/>
  <c r="Q36" i="16" s="1"/>
  <c r="M36" i="16" s="1"/>
  <c r="L36" i="16" s="1"/>
  <c r="AQ36" i="16" s="1"/>
  <c r="Q35" i="16"/>
  <c r="M35" i="16" s="1"/>
  <c r="L35" i="16" s="1"/>
  <c r="AQ35" i="16" s="1"/>
  <c r="L40" i="16" l="1"/>
  <c r="D4" i="9"/>
  <c r="C4" i="9"/>
  <c r="P5" i="9"/>
  <c r="P3" i="9"/>
  <c r="U8" i="9" l="1"/>
  <c r="F13" i="14"/>
  <c r="F12" i="14" s="1"/>
  <c r="I2" i="9" l="1"/>
  <c r="I8" i="9" s="1"/>
  <c r="C17" i="9" s="1"/>
  <c r="C5" i="9"/>
  <c r="C6" i="9"/>
  <c r="C7" i="9"/>
  <c r="C3" i="9"/>
  <c r="F16" i="14" s="1"/>
  <c r="C2" i="9"/>
  <c r="C23" i="9" l="1"/>
  <c r="AR33" i="16"/>
  <c r="AR27" i="16"/>
  <c r="AR26" i="16"/>
  <c r="AR34" i="16"/>
  <c r="AR35" i="16"/>
  <c r="AS35" i="16" s="1"/>
  <c r="AR31" i="16"/>
  <c r="AR28" i="16"/>
  <c r="AR36" i="16"/>
  <c r="AS36" i="16" s="1"/>
  <c r="AR29" i="16"/>
  <c r="AR30" i="16"/>
  <c r="AR32" i="16"/>
  <c r="AS32" i="16" s="1"/>
  <c r="AR25" i="16"/>
  <c r="AR21" i="16"/>
  <c r="AR22" i="16"/>
  <c r="AR24" i="16"/>
  <c r="AR23" i="16"/>
  <c r="AR12" i="16"/>
  <c r="AR20" i="16"/>
  <c r="AR13" i="16"/>
  <c r="AR14" i="16"/>
  <c r="AR15" i="16"/>
  <c r="AR8" i="16"/>
  <c r="AR16" i="16"/>
  <c r="AR9" i="16"/>
  <c r="AR17" i="16"/>
  <c r="AR10" i="16"/>
  <c r="AR18" i="16"/>
  <c r="AR11" i="16"/>
  <c r="AR19" i="16"/>
  <c r="G49" i="16"/>
  <c r="G40" i="16"/>
  <c r="C25" i="9"/>
  <c r="G26" i="16" l="1"/>
  <c r="J26" i="16" s="1"/>
  <c r="G34" i="16"/>
  <c r="J34" i="16" s="1"/>
  <c r="G28" i="16"/>
  <c r="J28" i="16" s="1"/>
  <c r="G36" i="16"/>
  <c r="J36" i="16" s="1"/>
  <c r="G29" i="16"/>
  <c r="J29" i="16" s="1"/>
  <c r="G27" i="16"/>
  <c r="J27" i="16" s="1"/>
  <c r="G35" i="16"/>
  <c r="J35" i="16" s="1"/>
  <c r="G31" i="16"/>
  <c r="J31" i="16" s="1"/>
  <c r="G30" i="16"/>
  <c r="J30" i="16" s="1"/>
  <c r="G32" i="16"/>
  <c r="J32" i="16" s="1"/>
  <c r="G33" i="16"/>
  <c r="J33" i="16" s="1"/>
  <c r="AS28" i="16"/>
  <c r="AP28" i="16" s="1"/>
  <c r="AS26" i="16"/>
  <c r="AP26" i="16" s="1"/>
  <c r="AS31" i="16"/>
  <c r="AP31" i="16" s="1"/>
  <c r="AS34" i="16"/>
  <c r="AP34" i="16" s="1"/>
  <c r="AS30" i="16"/>
  <c r="AP30" i="16" s="1"/>
  <c r="AS27" i="16"/>
  <c r="AP27" i="16" s="1"/>
  <c r="AS29" i="16"/>
  <c r="AP29" i="16" s="1"/>
  <c r="AS33" i="16"/>
  <c r="AP33" i="16" s="1"/>
  <c r="G14" i="16"/>
  <c r="G10" i="16"/>
  <c r="G13" i="16"/>
  <c r="G9" i="16"/>
  <c r="G12" i="16"/>
  <c r="G15" i="16"/>
  <c r="G11" i="16"/>
  <c r="G23" i="16"/>
  <c r="J23" i="16" s="1"/>
  <c r="G22" i="16"/>
  <c r="J22" i="16" s="1"/>
  <c r="G25" i="16"/>
  <c r="J25" i="16" s="1"/>
  <c r="G21" i="16"/>
  <c r="J21" i="16" s="1"/>
  <c r="G24" i="16"/>
  <c r="J24" i="16" s="1"/>
  <c r="AS24" i="16"/>
  <c r="AP24" i="16" s="1"/>
  <c r="AS21" i="16"/>
  <c r="AP21" i="16" s="1"/>
  <c r="AS23" i="16"/>
  <c r="AP23" i="16" s="1"/>
  <c r="AP35" i="16"/>
  <c r="AP36" i="16"/>
  <c r="AS25" i="16"/>
  <c r="AP25" i="16" s="1"/>
  <c r="AP32" i="16"/>
  <c r="AS22" i="16"/>
  <c r="AP22" i="16" s="1"/>
  <c r="AS19" i="16"/>
  <c r="AP19" i="16" s="1"/>
  <c r="AS11" i="16"/>
  <c r="AP11" i="16" s="1"/>
  <c r="AS18" i="16"/>
  <c r="AP18" i="16" s="1"/>
  <c r="AS8" i="16"/>
  <c r="AP8" i="16" s="1"/>
  <c r="AS13" i="16"/>
  <c r="AP13" i="16" s="1"/>
  <c r="AS14" i="16"/>
  <c r="AP14" i="16" s="1"/>
  <c r="AS15" i="16"/>
  <c r="AP15" i="16" s="1"/>
  <c r="AS20" i="16"/>
  <c r="AP20" i="16" s="1"/>
  <c r="AS9" i="16"/>
  <c r="AP9" i="16" s="1"/>
  <c r="AS16" i="16"/>
  <c r="AP16" i="16" s="1"/>
  <c r="AS10" i="16"/>
  <c r="AP10" i="16" s="1"/>
  <c r="G48" i="16"/>
  <c r="J48" i="16" s="1"/>
  <c r="G46" i="16"/>
  <c r="J46" i="16" s="1"/>
  <c r="G47" i="16"/>
  <c r="J47" i="16" s="1"/>
  <c r="G45" i="16"/>
  <c r="AS17" i="16"/>
  <c r="AP17" i="16" s="1"/>
  <c r="AS12" i="16"/>
  <c r="AP12" i="16" s="1"/>
  <c r="AU26" i="16" l="1"/>
  <c r="AT26" i="16"/>
  <c r="AT31" i="16"/>
  <c r="AU31" i="16"/>
  <c r="AT29" i="16"/>
  <c r="AU29" i="16"/>
  <c r="AU27" i="16"/>
  <c r="AT27" i="16"/>
  <c r="AT32" i="16"/>
  <c r="AU32" i="16"/>
  <c r="AU28" i="16"/>
  <c r="AT28" i="16"/>
  <c r="AT33" i="16"/>
  <c r="AU33" i="16"/>
  <c r="AU34" i="16"/>
  <c r="AT34" i="16"/>
  <c r="AU35" i="16"/>
  <c r="AT35" i="16"/>
  <c r="AU30" i="16"/>
  <c r="AT30" i="16"/>
  <c r="AU36" i="16"/>
  <c r="AT36" i="16"/>
  <c r="AT23" i="16"/>
  <c r="AU23" i="16"/>
  <c r="AU21" i="16"/>
  <c r="AT21" i="16"/>
  <c r="AU25" i="16"/>
  <c r="AT25" i="16"/>
  <c r="AU22" i="16"/>
  <c r="AT22" i="16"/>
  <c r="AU24" i="16"/>
  <c r="AT24" i="16"/>
  <c r="AU16" i="16"/>
  <c r="AT16" i="16"/>
  <c r="AU12" i="16"/>
  <c r="AT12" i="16"/>
  <c r="AU18" i="16"/>
  <c r="AT18" i="16"/>
  <c r="AU15" i="16"/>
  <c r="AT15" i="16"/>
  <c r="AU19" i="16"/>
  <c r="AT19" i="16"/>
  <c r="AU14" i="16"/>
  <c r="AT14" i="16"/>
  <c r="AU10" i="16"/>
  <c r="AT10" i="16"/>
  <c r="AU9" i="16"/>
  <c r="AT9" i="16"/>
  <c r="AU20" i="16"/>
  <c r="AT20" i="16"/>
  <c r="AT11" i="16"/>
  <c r="AU11" i="16"/>
  <c r="AU17" i="16"/>
  <c r="AT17" i="16"/>
  <c r="I49" i="16"/>
  <c r="J45" i="16"/>
  <c r="J49" i="16" s="1"/>
  <c r="AT13" i="16"/>
  <c r="AU13" i="16"/>
  <c r="AT8" i="16"/>
  <c r="AU8" i="16"/>
  <c r="E4" i="12"/>
  <c r="E17" i="12" s="1"/>
  <c r="F4" i="12"/>
  <c r="F17" i="12" s="1"/>
  <c r="G4" i="12"/>
  <c r="G17" i="12" s="1"/>
  <c r="H4" i="12"/>
  <c r="H17" i="12" s="1"/>
  <c r="I4" i="12"/>
  <c r="I17" i="12" s="1"/>
  <c r="J4" i="12"/>
  <c r="J17" i="12" s="1"/>
  <c r="K4" i="12"/>
  <c r="K17" i="12" s="1"/>
  <c r="L4" i="12"/>
  <c r="L17" i="12" s="1"/>
  <c r="M4" i="12"/>
  <c r="M17" i="12" s="1"/>
  <c r="N4" i="12"/>
  <c r="N17" i="12" s="1"/>
  <c r="O4" i="12"/>
  <c r="O17" i="12" s="1"/>
  <c r="P4" i="12"/>
  <c r="P17" i="12" s="1"/>
  <c r="Q4" i="12"/>
  <c r="Q17" i="12" s="1"/>
  <c r="R4" i="12"/>
  <c r="R17" i="12" s="1"/>
  <c r="S4" i="12"/>
  <c r="S17" i="12" s="1"/>
  <c r="T4" i="12"/>
  <c r="T17" i="12" s="1"/>
  <c r="U4" i="12"/>
  <c r="U17" i="12" s="1"/>
  <c r="V4" i="12"/>
  <c r="V17" i="12" s="1"/>
  <c r="W4" i="12"/>
  <c r="W17" i="12" s="1"/>
  <c r="X4" i="12"/>
  <c r="X17" i="12" s="1"/>
  <c r="Y4" i="12"/>
  <c r="Y17" i="12" s="1"/>
  <c r="Z4" i="12"/>
  <c r="Z17" i="12" s="1"/>
  <c r="AA4" i="12"/>
  <c r="AA17" i="12" s="1"/>
  <c r="AB4" i="12"/>
  <c r="AB17" i="12" s="1"/>
  <c r="AC4" i="12"/>
  <c r="AC17" i="12" s="1"/>
  <c r="AD4" i="12"/>
  <c r="AD17" i="12" s="1"/>
  <c r="AE4" i="12"/>
  <c r="AE17" i="12" s="1"/>
  <c r="AF4" i="12"/>
  <c r="AF17" i="12" s="1"/>
  <c r="AG4" i="12"/>
  <c r="AG17" i="12" s="1"/>
  <c r="D4" i="12"/>
  <c r="D17" i="12" s="1"/>
  <c r="AV34" i="16" l="1"/>
  <c r="AX34" i="16" s="1"/>
  <c r="AY34" i="16" s="1"/>
  <c r="BE34" i="16" s="1"/>
  <c r="BF34" i="16" s="1"/>
  <c r="BI34" i="16" s="1"/>
  <c r="AV28" i="16"/>
  <c r="BG28" i="16" s="1"/>
  <c r="BH28" i="16" s="1"/>
  <c r="AV27" i="16"/>
  <c r="AX27" i="16" s="1"/>
  <c r="AY27" i="16" s="1"/>
  <c r="BE27" i="16" s="1"/>
  <c r="BF27" i="16" s="1"/>
  <c r="BI27" i="16" s="1"/>
  <c r="AV36" i="16"/>
  <c r="BG36" i="16" s="1"/>
  <c r="BH36" i="16" s="1"/>
  <c r="AV35" i="16"/>
  <c r="AX35" i="16" s="1"/>
  <c r="AY35" i="16" s="1"/>
  <c r="BE35" i="16" s="1"/>
  <c r="BF35" i="16" s="1"/>
  <c r="BI35" i="16" s="1"/>
  <c r="AV32" i="16"/>
  <c r="BG32" i="16" s="1"/>
  <c r="BH32" i="16" s="1"/>
  <c r="AV26" i="16"/>
  <c r="AX26" i="16" s="1"/>
  <c r="AY26" i="16" s="1"/>
  <c r="BE26" i="16" s="1"/>
  <c r="BF26" i="16" s="1"/>
  <c r="BI26" i="16" s="1"/>
  <c r="AV33" i="16"/>
  <c r="AX33" i="16" s="1"/>
  <c r="AY33" i="16" s="1"/>
  <c r="BE33" i="16" s="1"/>
  <c r="BF33" i="16" s="1"/>
  <c r="BI33" i="16" s="1"/>
  <c r="AV29" i="16"/>
  <c r="BG29" i="16" s="1"/>
  <c r="BH29" i="16" s="1"/>
  <c r="AV30" i="16"/>
  <c r="BG30" i="16" s="1"/>
  <c r="BH30" i="16" s="1"/>
  <c r="AV31" i="16"/>
  <c r="BG31" i="16" s="1"/>
  <c r="BH31" i="16" s="1"/>
  <c r="BG34" i="16"/>
  <c r="BH34" i="16" s="1"/>
  <c r="AV25" i="16"/>
  <c r="AX25" i="16" s="1"/>
  <c r="AY25" i="16" s="1"/>
  <c r="BE25" i="16" s="1"/>
  <c r="BF25" i="16" s="1"/>
  <c r="BI25" i="16" s="1"/>
  <c r="AV23" i="16"/>
  <c r="AX23" i="16" s="1"/>
  <c r="AY23" i="16" s="1"/>
  <c r="BE23" i="16" s="1"/>
  <c r="BF23" i="16" s="1"/>
  <c r="BI23" i="16" s="1"/>
  <c r="AV17" i="16"/>
  <c r="AX17" i="16" s="1"/>
  <c r="AY17" i="16" s="1"/>
  <c r="BE17" i="16" s="1"/>
  <c r="BF17" i="16" s="1"/>
  <c r="AV21" i="16"/>
  <c r="AX21" i="16" s="1"/>
  <c r="AY21" i="16" s="1"/>
  <c r="BE21" i="16" s="1"/>
  <c r="BF21" i="16" s="1"/>
  <c r="BI21" i="16" s="1"/>
  <c r="AV24" i="16"/>
  <c r="AV22" i="16"/>
  <c r="AV20" i="16"/>
  <c r="BG20" i="16" s="1"/>
  <c r="AV18" i="16"/>
  <c r="AX18" i="16" s="1"/>
  <c r="AY18" i="16" s="1"/>
  <c r="BE18" i="16" s="1"/>
  <c r="BF18" i="16" s="1"/>
  <c r="AV11" i="16"/>
  <c r="BG11" i="16" s="1"/>
  <c r="AV9" i="16"/>
  <c r="BG9" i="16" s="1"/>
  <c r="AV19" i="16"/>
  <c r="AX19" i="16" s="1"/>
  <c r="AY19" i="16" s="1"/>
  <c r="BE19" i="16" s="1"/>
  <c r="BF19" i="16" s="1"/>
  <c r="AV8" i="16"/>
  <c r="BG8" i="16" s="1"/>
  <c r="AV10" i="16"/>
  <c r="AX10" i="16" s="1"/>
  <c r="AY10" i="16" s="1"/>
  <c r="BE10" i="16" s="1"/>
  <c r="BF10" i="16" s="1"/>
  <c r="AV15" i="16"/>
  <c r="AX15" i="16" s="1"/>
  <c r="AY15" i="16" s="1"/>
  <c r="BE15" i="16" s="1"/>
  <c r="BF15" i="16" s="1"/>
  <c r="AV12" i="16"/>
  <c r="AX12" i="16" s="1"/>
  <c r="AY12" i="16" s="1"/>
  <c r="BE12" i="16" s="1"/>
  <c r="BF12" i="16" s="1"/>
  <c r="AV14" i="16"/>
  <c r="AX14" i="16" s="1"/>
  <c r="AY14" i="16" s="1"/>
  <c r="BE14" i="16" s="1"/>
  <c r="BF14" i="16" s="1"/>
  <c r="AV13" i="16"/>
  <c r="BG13" i="16" s="1"/>
  <c r="AV16" i="16"/>
  <c r="AX16" i="16" s="1"/>
  <c r="AY16" i="16" s="1"/>
  <c r="BE16" i="16" s="1"/>
  <c r="BF16" i="16" s="1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D23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D2" i="12"/>
  <c r="BG35" i="16" l="1"/>
  <c r="BH35" i="16" s="1"/>
  <c r="AX28" i="16"/>
  <c r="AY28" i="16" s="1"/>
  <c r="BE28" i="16" s="1"/>
  <c r="BF28" i="16" s="1"/>
  <c r="BI28" i="16" s="1"/>
  <c r="AX36" i="16"/>
  <c r="AY36" i="16" s="1"/>
  <c r="BE36" i="16" s="1"/>
  <c r="BF36" i="16" s="1"/>
  <c r="BI36" i="16" s="1"/>
  <c r="BG27" i="16"/>
  <c r="BH27" i="16" s="1"/>
  <c r="AB26" i="12"/>
  <c r="AB14" i="12"/>
  <c r="P26" i="12"/>
  <c r="P14" i="12"/>
  <c r="AE26" i="12"/>
  <c r="AE14" i="12"/>
  <c r="S26" i="12"/>
  <c r="S14" i="12"/>
  <c r="K26" i="12"/>
  <c r="K14" i="12"/>
  <c r="G26" i="12"/>
  <c r="G14" i="12"/>
  <c r="D26" i="12"/>
  <c r="D14" i="12"/>
  <c r="AD26" i="12"/>
  <c r="AD14" i="12"/>
  <c r="Z26" i="12"/>
  <c r="Z14" i="12"/>
  <c r="V26" i="12"/>
  <c r="V14" i="12"/>
  <c r="R26" i="12"/>
  <c r="R14" i="12"/>
  <c r="N26" i="12"/>
  <c r="N14" i="12"/>
  <c r="J26" i="12"/>
  <c r="J14" i="12"/>
  <c r="F26" i="12"/>
  <c r="F14" i="12"/>
  <c r="AF26" i="12"/>
  <c r="AF14" i="12"/>
  <c r="X26" i="12"/>
  <c r="X14" i="12"/>
  <c r="T26" i="12"/>
  <c r="T14" i="12"/>
  <c r="L26" i="12"/>
  <c r="L14" i="12"/>
  <c r="H26" i="12"/>
  <c r="H14" i="12"/>
  <c r="AA26" i="12"/>
  <c r="AA14" i="12"/>
  <c r="W26" i="12"/>
  <c r="W14" i="12"/>
  <c r="O26" i="12"/>
  <c r="O14" i="12"/>
  <c r="AG26" i="12"/>
  <c r="AG14" i="12"/>
  <c r="AC26" i="12"/>
  <c r="AC14" i="12"/>
  <c r="Y26" i="12"/>
  <c r="Y14" i="12"/>
  <c r="U26" i="12"/>
  <c r="U14" i="12"/>
  <c r="Q26" i="12"/>
  <c r="Q14" i="12"/>
  <c r="M26" i="12"/>
  <c r="M14" i="12"/>
  <c r="I26" i="12"/>
  <c r="I14" i="12"/>
  <c r="E26" i="12"/>
  <c r="E14" i="12"/>
  <c r="AX32" i="16"/>
  <c r="AY32" i="16" s="1"/>
  <c r="BE32" i="16" s="1"/>
  <c r="BF32" i="16" s="1"/>
  <c r="BI32" i="16" s="1"/>
  <c r="BG26" i="16"/>
  <c r="BH26" i="16" s="1"/>
  <c r="AX29" i="16"/>
  <c r="AY29" i="16" s="1"/>
  <c r="BE29" i="16" s="1"/>
  <c r="BF29" i="16" s="1"/>
  <c r="BI29" i="16" s="1"/>
  <c r="AX31" i="16"/>
  <c r="AY31" i="16" s="1"/>
  <c r="BE31" i="16" s="1"/>
  <c r="BF31" i="16" s="1"/>
  <c r="BI31" i="16" s="1"/>
  <c r="AX30" i="16"/>
  <c r="AY30" i="16" s="1"/>
  <c r="BE30" i="16" s="1"/>
  <c r="BF30" i="16" s="1"/>
  <c r="BI30" i="16" s="1"/>
  <c r="BG33" i="16"/>
  <c r="BH33" i="16" s="1"/>
  <c r="BG25" i="16"/>
  <c r="BH25" i="16" s="1"/>
  <c r="BG21" i="16"/>
  <c r="BH21" i="16" s="1"/>
  <c r="BG17" i="16"/>
  <c r="BG23" i="16"/>
  <c r="BH23" i="16" s="1"/>
  <c r="BG18" i="16"/>
  <c r="AX11" i="16"/>
  <c r="AY11" i="16" s="1"/>
  <c r="BE11" i="16" s="1"/>
  <c r="BF11" i="16" s="1"/>
  <c r="AX24" i="16"/>
  <c r="AY24" i="16" s="1"/>
  <c r="BE24" i="16" s="1"/>
  <c r="BF24" i="16" s="1"/>
  <c r="BI24" i="16" s="1"/>
  <c r="BG24" i="16"/>
  <c r="BH24" i="16" s="1"/>
  <c r="BG16" i="16"/>
  <c r="AX22" i="16"/>
  <c r="AY22" i="16" s="1"/>
  <c r="BE22" i="16" s="1"/>
  <c r="BF22" i="16" s="1"/>
  <c r="BI22" i="16" s="1"/>
  <c r="BG22" i="16"/>
  <c r="BH22" i="16" s="1"/>
  <c r="BG15" i="16"/>
  <c r="AX20" i="16"/>
  <c r="AY20" i="16" s="1"/>
  <c r="BE20" i="16" s="1"/>
  <c r="BF20" i="16" s="1"/>
  <c r="BG19" i="16"/>
  <c r="BG12" i="16"/>
  <c r="AX9" i="16"/>
  <c r="AY9" i="16" s="1"/>
  <c r="BE9" i="16" s="1"/>
  <c r="BF9" i="16" s="1"/>
  <c r="AX8" i="16"/>
  <c r="AY8" i="16" s="1"/>
  <c r="BE8" i="16" s="1"/>
  <c r="BF8" i="16" s="1"/>
  <c r="BG10" i="16"/>
  <c r="AX13" i="16"/>
  <c r="AY13" i="16" s="1"/>
  <c r="BE13" i="16" s="1"/>
  <c r="BF13" i="16" s="1"/>
  <c r="BG14" i="16"/>
  <c r="AV40" i="16"/>
  <c r="O17" i="9"/>
  <c r="P17" i="9" s="1"/>
  <c r="B56" i="12"/>
  <c r="B62" i="12" s="1"/>
  <c r="B54" i="12"/>
  <c r="B60" i="12" s="1"/>
  <c r="B53" i="12"/>
  <c r="B59" i="12" s="1"/>
  <c r="D32" i="12"/>
  <c r="E3" i="12"/>
  <c r="I20" i="9"/>
  <c r="I23" i="9" s="1"/>
  <c r="I24" i="9" s="1"/>
  <c r="BF40" i="16" l="1"/>
  <c r="AX40" i="16"/>
  <c r="BG40" i="16"/>
  <c r="I11" i="12"/>
  <c r="Q11" i="12"/>
  <c r="J11" i="12"/>
  <c r="F11" i="12"/>
  <c r="X11" i="12"/>
  <c r="U11" i="12"/>
  <c r="E23" i="12"/>
  <c r="J18" i="9"/>
  <c r="F3" i="12"/>
  <c r="F23" i="12" s="1"/>
  <c r="J19" i="9"/>
  <c r="V11" i="12" l="1"/>
  <c r="AA11" i="12"/>
  <c r="D11" i="12"/>
  <c r="AE11" i="12"/>
  <c r="Z11" i="12"/>
  <c r="W11" i="12"/>
  <c r="S11" i="12"/>
  <c r="G11" i="12"/>
  <c r="AC11" i="12"/>
  <c r="K11" i="12"/>
  <c r="P11" i="12"/>
  <c r="N11" i="12"/>
  <c r="AG11" i="12"/>
  <c r="M11" i="12"/>
  <c r="H11" i="12"/>
  <c r="AB11" i="12"/>
  <c r="O11" i="12"/>
  <c r="E11" i="12"/>
  <c r="R11" i="12"/>
  <c r="L11" i="12"/>
  <c r="Y11" i="12"/>
  <c r="T11" i="12"/>
  <c r="AF11" i="12"/>
  <c r="AD11" i="12"/>
  <c r="G3" i="12"/>
  <c r="G23" i="12" s="1"/>
  <c r="H3" i="12" l="1"/>
  <c r="H23" i="12" s="1"/>
  <c r="O5" i="9" l="1"/>
  <c r="O4" i="9" s="1"/>
  <c r="O3" i="9"/>
  <c r="O8" i="9" l="1"/>
  <c r="C22" i="9" s="1"/>
  <c r="C24" i="9" s="1"/>
  <c r="C19" i="9" s="1"/>
  <c r="D19" i="9" s="1"/>
  <c r="I29" i="9"/>
  <c r="D24" i="12" s="1"/>
  <c r="D7" i="9"/>
  <c r="D5" i="9"/>
  <c r="D3" i="9"/>
  <c r="D2" i="9"/>
  <c r="J2" i="9" l="1"/>
  <c r="P24" i="12"/>
  <c r="O24" i="12"/>
  <c r="K24" i="12"/>
  <c r="J24" i="12"/>
  <c r="I24" i="12"/>
  <c r="R24" i="12"/>
  <c r="AC24" i="12"/>
  <c r="Y24" i="12"/>
  <c r="AE24" i="12"/>
  <c r="M24" i="12"/>
  <c r="H24" i="12"/>
  <c r="AF24" i="12"/>
  <c r="Q24" i="12"/>
  <c r="E24" i="12"/>
  <c r="F24" i="12"/>
  <c r="Z24" i="12"/>
  <c r="AG24" i="12"/>
  <c r="X24" i="12"/>
  <c r="G24" i="12"/>
  <c r="U24" i="12"/>
  <c r="W24" i="12"/>
  <c r="V24" i="12"/>
  <c r="N24" i="12"/>
  <c r="AA24" i="12"/>
  <c r="T24" i="12"/>
  <c r="AB24" i="12"/>
  <c r="AD24" i="12"/>
  <c r="S24" i="12"/>
  <c r="L24" i="12"/>
  <c r="L27" i="12"/>
  <c r="R27" i="12"/>
  <c r="AC27" i="12"/>
  <c r="I27" i="12"/>
  <c r="AB27" i="12"/>
  <c r="P27" i="12"/>
  <c r="K27" i="12"/>
  <c r="G27" i="12"/>
  <c r="AE27" i="12"/>
  <c r="N27" i="12"/>
  <c r="D27" i="12"/>
  <c r="AD27" i="12"/>
  <c r="Y27" i="12"/>
  <c r="V27" i="12"/>
  <c r="AF27" i="12"/>
  <c r="M27" i="12"/>
  <c r="U27" i="12"/>
  <c r="S27" i="12"/>
  <c r="J27" i="12"/>
  <c r="AG27" i="12"/>
  <c r="AA27" i="12"/>
  <c r="H27" i="12"/>
  <c r="Z27" i="12"/>
  <c r="F27" i="12"/>
  <c r="Q27" i="12"/>
  <c r="E27" i="12"/>
  <c r="X27" i="12"/>
  <c r="W27" i="12"/>
  <c r="T27" i="12"/>
  <c r="O27" i="12"/>
  <c r="I3" i="9"/>
  <c r="D6" i="9"/>
  <c r="J23" i="9" l="1"/>
  <c r="C54" i="12" l="1"/>
  <c r="C56" i="12" s="1"/>
  <c r="I5" i="9"/>
  <c r="J5" i="9" s="1"/>
  <c r="J24" i="9"/>
  <c r="D55" i="12" l="1"/>
  <c r="D44" i="12" s="1"/>
  <c r="D18" i="12"/>
  <c r="F55" i="12"/>
  <c r="F44" i="12" s="1"/>
  <c r="H55" i="12"/>
  <c r="H44" i="12" s="1"/>
  <c r="J55" i="12"/>
  <c r="J44" i="12" s="1"/>
  <c r="U55" i="12"/>
  <c r="U44" i="12" s="1"/>
  <c r="X55" i="12"/>
  <c r="X44" i="12" s="1"/>
  <c r="AF55" i="12"/>
  <c r="AF44" i="12" s="1"/>
  <c r="K55" i="12"/>
  <c r="K44" i="12" s="1"/>
  <c r="AA55" i="12"/>
  <c r="AA44" i="12" s="1"/>
  <c r="Q55" i="12"/>
  <c r="Q44" i="12" s="1"/>
  <c r="N55" i="12"/>
  <c r="N44" i="12" s="1"/>
  <c r="P55" i="12"/>
  <c r="P44" i="12" s="1"/>
  <c r="R55" i="12"/>
  <c r="R44" i="12" s="1"/>
  <c r="AC55" i="12"/>
  <c r="AC44" i="12" s="1"/>
  <c r="V55" i="12"/>
  <c r="V44" i="12" s="1"/>
  <c r="S55" i="12"/>
  <c r="S44" i="12" s="1"/>
  <c r="Z55" i="12"/>
  <c r="Z44" i="12" s="1"/>
  <c r="L55" i="12"/>
  <c r="L44" i="12" s="1"/>
  <c r="AB55" i="12"/>
  <c r="AB44" i="12" s="1"/>
  <c r="Y55" i="12"/>
  <c r="Y44" i="12" s="1"/>
  <c r="AE55" i="12"/>
  <c r="AE44" i="12" s="1"/>
  <c r="M55" i="12"/>
  <c r="M44" i="12" s="1"/>
  <c r="AD55" i="12"/>
  <c r="AD44" i="12" s="1"/>
  <c r="G55" i="12"/>
  <c r="G44" i="12" s="1"/>
  <c r="I55" i="12"/>
  <c r="I44" i="12" s="1"/>
  <c r="T55" i="12"/>
  <c r="T44" i="12" s="1"/>
  <c r="O55" i="12"/>
  <c r="O44" i="12" s="1"/>
  <c r="AG55" i="12"/>
  <c r="AG44" i="12" s="1"/>
  <c r="W55" i="12"/>
  <c r="W44" i="12" s="1"/>
  <c r="E55" i="12"/>
  <c r="E44" i="12" s="1"/>
  <c r="C18" i="9" l="1"/>
  <c r="D8" i="12"/>
  <c r="D6" i="12"/>
  <c r="D7" i="12"/>
  <c r="D53" i="12"/>
  <c r="D19" i="12" s="1"/>
  <c r="D18" i="9" l="1"/>
  <c r="C60" i="12"/>
  <c r="D20" i="12"/>
  <c r="C23" i="14"/>
  <c r="C62" i="12"/>
  <c r="D59" i="12" s="1"/>
  <c r="C72" i="12"/>
  <c r="D56" i="12"/>
  <c r="E18" i="12" s="1"/>
  <c r="E8" i="12" s="1"/>
  <c r="C65" i="12" l="1"/>
  <c r="C49" i="12" s="1"/>
  <c r="E7" i="12"/>
  <c r="E6" i="12"/>
  <c r="E53" i="12"/>
  <c r="E19" i="12" s="1"/>
  <c r="E20" i="12" l="1"/>
  <c r="E56" i="12"/>
  <c r="F18" i="12" s="1"/>
  <c r="F8" i="12" s="1"/>
  <c r="F7" i="12" l="1"/>
  <c r="F6" i="12"/>
  <c r="F53" i="12"/>
  <c r="F19" i="12" s="1"/>
  <c r="F20" i="12" l="1"/>
  <c r="F56" i="12"/>
  <c r="G18" i="12" s="1"/>
  <c r="G8" i="12" s="1"/>
  <c r="G6" i="12" l="1"/>
  <c r="G7" i="12"/>
  <c r="G53" i="12"/>
  <c r="G19" i="12" s="1"/>
  <c r="G20" i="12" l="1"/>
  <c r="G56" i="12"/>
  <c r="H18" i="12" s="1"/>
  <c r="H8" i="12" s="1"/>
  <c r="H7" i="12" l="1"/>
  <c r="H6" i="12"/>
  <c r="H53" i="12"/>
  <c r="H19" i="12" s="1"/>
  <c r="H20" i="12" l="1"/>
  <c r="H56" i="12"/>
  <c r="I18" i="12" s="1"/>
  <c r="I8" i="12" s="1"/>
  <c r="I6" i="12" l="1"/>
  <c r="I7" i="12"/>
  <c r="I53" i="12"/>
  <c r="I19" i="12" s="1"/>
  <c r="I20" i="12" l="1"/>
  <c r="I56" i="12"/>
  <c r="J18" i="12" s="1"/>
  <c r="J8" i="12" s="1"/>
  <c r="J6" i="12" l="1"/>
  <c r="J7" i="12"/>
  <c r="J53" i="12"/>
  <c r="J19" i="12" s="1"/>
  <c r="J20" i="12" l="1"/>
  <c r="J56" i="12"/>
  <c r="K18" i="12" s="1"/>
  <c r="K8" i="12" s="1"/>
  <c r="K7" i="12" l="1"/>
  <c r="K6" i="12"/>
  <c r="K53" i="12"/>
  <c r="K19" i="12" s="1"/>
  <c r="K20" i="12" l="1"/>
  <c r="K56" i="12"/>
  <c r="L18" i="12" s="1"/>
  <c r="L8" i="12" s="1"/>
  <c r="L7" i="12" l="1"/>
  <c r="L6" i="12"/>
  <c r="L53" i="12"/>
  <c r="L19" i="12" s="1"/>
  <c r="L20" i="12" l="1"/>
  <c r="L56" i="12"/>
  <c r="M18" i="12" s="1"/>
  <c r="M8" i="12" s="1"/>
  <c r="M7" i="12" l="1"/>
  <c r="M6" i="12"/>
  <c r="M53" i="12"/>
  <c r="M19" i="12" s="1"/>
  <c r="M20" i="12" l="1"/>
  <c r="M56" i="12"/>
  <c r="N18" i="12" s="1"/>
  <c r="N8" i="12" s="1"/>
  <c r="N6" i="12" l="1"/>
  <c r="N7" i="12"/>
  <c r="N53" i="12"/>
  <c r="N19" i="12" s="1"/>
  <c r="N20" i="12" l="1"/>
  <c r="N56" i="12"/>
  <c r="O18" i="12" s="1"/>
  <c r="O8" i="12" s="1"/>
  <c r="O6" i="12" l="1"/>
  <c r="O7" i="12"/>
  <c r="O53" i="12"/>
  <c r="O19" i="12" s="1"/>
  <c r="O20" i="12" l="1"/>
  <c r="O56" i="12"/>
  <c r="P18" i="12" s="1"/>
  <c r="P8" i="12" s="1"/>
  <c r="P6" i="12" l="1"/>
  <c r="P7" i="12"/>
  <c r="P53" i="12"/>
  <c r="P19" i="12" s="1"/>
  <c r="P20" i="12" l="1"/>
  <c r="P56" i="12"/>
  <c r="Q18" i="12" s="1"/>
  <c r="Q8" i="12" s="1"/>
  <c r="Q7" i="12" l="1"/>
  <c r="Q6" i="12"/>
  <c r="Q53" i="12"/>
  <c r="Q19" i="12" s="1"/>
  <c r="Q20" i="12" l="1"/>
  <c r="Q56" i="12"/>
  <c r="R18" i="12" l="1"/>
  <c r="R8" i="12" s="1"/>
  <c r="R6" i="12"/>
  <c r="R7" i="12"/>
  <c r="R53" i="12"/>
  <c r="R19" i="12" s="1"/>
  <c r="R20" i="12" l="1"/>
  <c r="R56" i="12"/>
  <c r="S53" i="12" l="1"/>
  <c r="S56" i="12" l="1"/>
  <c r="T53" i="12" l="1"/>
  <c r="T56" i="12" l="1"/>
  <c r="U53" i="12" l="1"/>
  <c r="U56" i="12" l="1"/>
  <c r="V53" i="12" l="1"/>
  <c r="V56" i="12" l="1"/>
  <c r="W53" i="12" l="1"/>
  <c r="W56" i="12" l="1"/>
  <c r="X53" i="12" l="1"/>
  <c r="X56" i="12" l="1"/>
  <c r="Y53" i="12" l="1"/>
  <c r="Y56" i="12" l="1"/>
  <c r="Z53" i="12" l="1"/>
  <c r="Z56" i="12" l="1"/>
  <c r="AA53" i="12" l="1"/>
  <c r="AA56" i="12" l="1"/>
  <c r="AB53" i="12" l="1"/>
  <c r="AB56" i="12" l="1"/>
  <c r="AC53" i="12" l="1"/>
  <c r="AC56" i="12" l="1"/>
  <c r="AD53" i="12" l="1"/>
  <c r="AD56" i="12" l="1"/>
  <c r="AE53" i="12" l="1"/>
  <c r="AE56" i="12" l="1"/>
  <c r="AF53" i="12" l="1"/>
  <c r="AF56" i="12" l="1"/>
  <c r="AG53" i="12" l="1"/>
  <c r="AG56" i="12" l="1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G8" i="16" l="1"/>
  <c r="J8" i="16" s="1"/>
  <c r="J9" i="16"/>
  <c r="BI9" i="16" s="1"/>
  <c r="J10" i="16"/>
  <c r="J11" i="16"/>
  <c r="J12" i="16"/>
  <c r="BH12" i="16" s="1"/>
  <c r="J13" i="16"/>
  <c r="BI13" i="16" s="1"/>
  <c r="J14" i="16"/>
  <c r="J15" i="16"/>
  <c r="BI15" i="16" s="1"/>
  <c r="G16" i="16"/>
  <c r="J16" i="16" s="1"/>
  <c r="G17" i="16"/>
  <c r="J17" i="16" s="1"/>
  <c r="G18" i="16"/>
  <c r="J18" i="16" s="1"/>
  <c r="G19" i="16"/>
  <c r="J19" i="16" s="1"/>
  <c r="BI19" i="16" s="1"/>
  <c r="G20" i="16"/>
  <c r="J20" i="16" s="1"/>
  <c r="BH13" i="16" l="1"/>
  <c r="BH15" i="16"/>
  <c r="BH14" i="16"/>
  <c r="BI14" i="16"/>
  <c r="BI20" i="16"/>
  <c r="BH20" i="16"/>
  <c r="BH16" i="16"/>
  <c r="BI16" i="16"/>
  <c r="BI12" i="16"/>
  <c r="I40" i="16"/>
  <c r="BH18" i="16"/>
  <c r="BI18" i="16"/>
  <c r="BI10" i="16"/>
  <c r="BH10" i="16"/>
  <c r="BI17" i="16"/>
  <c r="BH17" i="16"/>
  <c r="J40" i="16"/>
  <c r="S53" i="16" s="1"/>
  <c r="BH8" i="16"/>
  <c r="BI8" i="16"/>
  <c r="BH19" i="16"/>
  <c r="BI11" i="16"/>
  <c r="BH11" i="16"/>
  <c r="BH9" i="16"/>
  <c r="BH40" i="16" l="1"/>
  <c r="BI40" i="16"/>
  <c r="H25" i="12" l="1"/>
  <c r="P25" i="12"/>
  <c r="X25" i="12"/>
  <c r="AF25" i="12"/>
  <c r="I25" i="12"/>
  <c r="Q25" i="12"/>
  <c r="Y25" i="12"/>
  <c r="AG25" i="12"/>
  <c r="R25" i="12"/>
  <c r="Z25" i="12"/>
  <c r="S25" i="12"/>
  <c r="AA25" i="12"/>
  <c r="E25" i="12"/>
  <c r="L25" i="12"/>
  <c r="AB25" i="12"/>
  <c r="M25" i="12"/>
  <c r="AC25" i="12"/>
  <c r="N25" i="12"/>
  <c r="AD25" i="12"/>
  <c r="G25" i="12"/>
  <c r="W25" i="12"/>
  <c r="J25" i="12"/>
  <c r="T25" i="12"/>
  <c r="D25" i="12"/>
  <c r="U25" i="12"/>
  <c r="F25" i="12"/>
  <c r="K25" i="12"/>
  <c r="V25" i="12"/>
  <c r="O25" i="12"/>
  <c r="AE25" i="12"/>
  <c r="O18" i="9"/>
  <c r="W48" i="16"/>
  <c r="T48" i="16"/>
  <c r="W46" i="16"/>
  <c r="T46" i="16"/>
  <c r="W47" i="16"/>
  <c r="T47" i="16"/>
  <c r="W45" i="16"/>
  <c r="W49" i="16" l="1"/>
  <c r="O19" i="9" s="1"/>
  <c r="U47" i="16"/>
  <c r="V47" i="16" s="1"/>
  <c r="U46" i="16"/>
  <c r="V46" i="16" s="1"/>
  <c r="U48" i="16"/>
  <c r="V48" i="16" s="1"/>
  <c r="T49" i="16"/>
  <c r="S56" i="16" s="1"/>
  <c r="T56" i="16" s="1"/>
  <c r="U45" i="16"/>
  <c r="U49" i="16" l="1"/>
  <c r="O20" i="9" s="1"/>
  <c r="D33" i="12" s="1"/>
  <c r="D34" i="12" s="1"/>
  <c r="V45" i="16"/>
  <c r="V49" i="16" s="1"/>
  <c r="O21" i="9" s="1"/>
  <c r="E61" i="12"/>
  <c r="D40" i="12" l="1"/>
  <c r="E32" i="12"/>
  <c r="D68" i="12"/>
  <c r="AG12" i="12"/>
  <c r="AE12" i="12"/>
  <c r="E12" i="12"/>
  <c r="N12" i="12"/>
  <c r="J12" i="12"/>
  <c r="Z12" i="12"/>
  <c r="M12" i="12"/>
  <c r="Y12" i="12"/>
  <c r="K12" i="12"/>
  <c r="G12" i="12"/>
  <c r="AF12" i="12"/>
  <c r="V12" i="12"/>
  <c r="I12" i="12"/>
  <c r="W12" i="12"/>
  <c r="L12" i="12"/>
  <c r="Q12" i="12"/>
  <c r="AD12" i="12"/>
  <c r="AB12" i="12"/>
  <c r="X12" i="12"/>
  <c r="F12" i="12"/>
  <c r="H12" i="12"/>
  <c r="T12" i="12"/>
  <c r="U12" i="12"/>
  <c r="R12" i="12"/>
  <c r="AA12" i="12"/>
  <c r="S12" i="12"/>
  <c r="O12" i="12"/>
  <c r="AC12" i="12"/>
  <c r="D12" i="12"/>
  <c r="P12" i="12"/>
  <c r="D29" i="12" l="1"/>
  <c r="D39" i="12" s="1"/>
  <c r="D41" i="12" s="1"/>
  <c r="D45" i="12" s="1"/>
  <c r="E33" i="12"/>
  <c r="E34" i="12" s="1"/>
  <c r="F32" i="12" l="1"/>
  <c r="E40" i="12"/>
  <c r="E68" i="12"/>
  <c r="D61" i="12"/>
  <c r="D62" i="12" s="1"/>
  <c r="E59" i="12" s="1"/>
  <c r="E62" i="12" s="1"/>
  <c r="F59" i="12" s="1"/>
  <c r="F62" i="12" s="1"/>
  <c r="G59" i="12" s="1"/>
  <c r="G62" i="12" s="1"/>
  <c r="H59" i="12" s="1"/>
  <c r="H62" i="12" s="1"/>
  <c r="I59" i="12" s="1"/>
  <c r="I62" i="12" s="1"/>
  <c r="J59" i="12" s="1"/>
  <c r="J62" i="12" s="1"/>
  <c r="K59" i="12" s="1"/>
  <c r="K62" i="12" s="1"/>
  <c r="L59" i="12" s="1"/>
  <c r="L62" i="12" s="1"/>
  <c r="M59" i="12" s="1"/>
  <c r="M62" i="12" s="1"/>
  <c r="N59" i="12" s="1"/>
  <c r="N62" i="12" s="1"/>
  <c r="O59" i="12" s="1"/>
  <c r="O62" i="12" s="1"/>
  <c r="P59" i="12" s="1"/>
  <c r="P62" i="12" s="1"/>
  <c r="Q59" i="12" s="1"/>
  <c r="Q62" i="12" s="1"/>
  <c r="R59" i="12" s="1"/>
  <c r="R62" i="12" s="1"/>
  <c r="S59" i="12" s="1"/>
  <c r="S62" i="12" s="1"/>
  <c r="T59" i="12" s="1"/>
  <c r="T62" i="12" s="1"/>
  <c r="U59" i="12" s="1"/>
  <c r="U62" i="12" s="1"/>
  <c r="V59" i="12" s="1"/>
  <c r="V62" i="12" s="1"/>
  <c r="W59" i="12" s="1"/>
  <c r="W62" i="12" s="1"/>
  <c r="X59" i="12" s="1"/>
  <c r="X62" i="12" s="1"/>
  <c r="Y59" i="12" s="1"/>
  <c r="Y62" i="12" s="1"/>
  <c r="Z59" i="12" s="1"/>
  <c r="Z62" i="12" s="1"/>
  <c r="AA59" i="12" s="1"/>
  <c r="AA62" i="12" s="1"/>
  <c r="AB59" i="12" s="1"/>
  <c r="AB62" i="12" s="1"/>
  <c r="AC59" i="12" s="1"/>
  <c r="AC62" i="12" s="1"/>
  <c r="AD59" i="12" s="1"/>
  <c r="AD62" i="12" s="1"/>
  <c r="AE59" i="12" s="1"/>
  <c r="AE62" i="12" s="1"/>
  <c r="AF59" i="12" s="1"/>
  <c r="AF62" i="12" s="1"/>
  <c r="AG59" i="12" s="1"/>
  <c r="AG62" i="12" s="1"/>
  <c r="D69" i="12"/>
  <c r="D46" i="12" s="1"/>
  <c r="D49" i="12" s="1"/>
  <c r="D72" i="12" l="1"/>
  <c r="F33" i="12"/>
  <c r="F34" i="12" s="1"/>
  <c r="G32" i="12" l="1"/>
  <c r="F40" i="12"/>
  <c r="F68" i="12"/>
  <c r="G33" i="12" l="1"/>
  <c r="G34" i="12" s="1"/>
  <c r="H32" i="12" l="1"/>
  <c r="G40" i="12"/>
  <c r="G68" i="12"/>
  <c r="H33" i="12" l="1"/>
  <c r="H34" i="12" s="1"/>
  <c r="I32" i="12" l="1"/>
  <c r="H40" i="12"/>
  <c r="H68" i="12"/>
  <c r="I33" i="12" l="1"/>
  <c r="I34" i="12" s="1"/>
  <c r="I40" i="12" l="1"/>
  <c r="J32" i="12"/>
  <c r="I68" i="12"/>
  <c r="J33" i="12" l="1"/>
  <c r="J34" i="12" s="1"/>
  <c r="K32" i="12" l="1"/>
  <c r="J40" i="12"/>
  <c r="J68" i="12"/>
  <c r="K33" i="12" l="1"/>
  <c r="K34" i="12" s="1"/>
  <c r="L32" i="12" l="1"/>
  <c r="K40" i="12"/>
  <c r="K68" i="12"/>
  <c r="L33" i="12" l="1"/>
  <c r="L34" i="12" s="1"/>
  <c r="M32" i="12" l="1"/>
  <c r="L40" i="12"/>
  <c r="L68" i="12"/>
  <c r="M33" i="12" l="1"/>
  <c r="M34" i="12" s="1"/>
  <c r="N32" i="12" l="1"/>
  <c r="M40" i="12"/>
  <c r="M68" i="12"/>
  <c r="N33" i="12" l="1"/>
  <c r="N34" i="12" s="1"/>
  <c r="N40" i="12" l="1"/>
  <c r="O32" i="12"/>
  <c r="N68" i="12"/>
  <c r="O33" i="12" l="1"/>
  <c r="O34" i="12" s="1"/>
  <c r="P32" i="12" l="1"/>
  <c r="O40" i="12"/>
  <c r="O68" i="12"/>
  <c r="P33" i="12" l="1"/>
  <c r="P34" i="12" s="1"/>
  <c r="Q32" i="12" l="1"/>
  <c r="P40" i="12"/>
  <c r="P68" i="12"/>
  <c r="Q33" i="12" l="1"/>
  <c r="Q34" i="12" s="1"/>
  <c r="R32" i="12" l="1"/>
  <c r="Q40" i="12"/>
  <c r="Q68" i="12"/>
  <c r="R33" i="12" l="1"/>
  <c r="R34" i="12" s="1"/>
  <c r="S32" i="12" l="1"/>
  <c r="R40" i="12"/>
  <c r="R68" i="12"/>
  <c r="S33" i="12" l="1"/>
  <c r="S34" i="12" s="1"/>
  <c r="T32" i="12" l="1"/>
  <c r="S40" i="12"/>
  <c r="S68" i="12"/>
  <c r="T33" i="12" l="1"/>
  <c r="T34" i="12" s="1"/>
  <c r="U32" i="12" l="1"/>
  <c r="T40" i="12"/>
  <c r="T68" i="12"/>
  <c r="U33" i="12" l="1"/>
  <c r="U34" i="12" s="1"/>
  <c r="V32" i="12" l="1"/>
  <c r="U40" i="12"/>
  <c r="U68" i="12"/>
  <c r="V33" i="12" l="1"/>
  <c r="V34" i="12" s="1"/>
  <c r="V40" i="12" l="1"/>
  <c r="W32" i="12"/>
  <c r="V68" i="12"/>
  <c r="W33" i="12" l="1"/>
  <c r="W34" i="12" s="1"/>
  <c r="X32" i="12" l="1"/>
  <c r="W40" i="12"/>
  <c r="W68" i="12"/>
  <c r="X33" i="12" l="1"/>
  <c r="X34" i="12" s="1"/>
  <c r="Y32" i="12" l="1"/>
  <c r="X40" i="12"/>
  <c r="X68" i="12"/>
  <c r="Y33" i="12" l="1"/>
  <c r="Y34" i="12" s="1"/>
  <c r="Z32" i="12" l="1"/>
  <c r="Y40" i="12"/>
  <c r="Y68" i="12"/>
  <c r="Z33" i="12" l="1"/>
  <c r="Z34" i="12" s="1"/>
  <c r="AA32" i="12" l="1"/>
  <c r="Z40" i="12"/>
  <c r="Z68" i="12"/>
  <c r="AA33" i="12" l="1"/>
  <c r="AA34" i="12" s="1"/>
  <c r="AB32" i="12" l="1"/>
  <c r="AA40" i="12"/>
  <c r="AA68" i="12"/>
  <c r="AB33" i="12" l="1"/>
  <c r="AB34" i="12" s="1"/>
  <c r="AC32" i="12" l="1"/>
  <c r="AB40" i="12"/>
  <c r="AB68" i="12"/>
  <c r="AC33" i="12" l="1"/>
  <c r="AC34" i="12" s="1"/>
  <c r="AD32" i="12" l="1"/>
  <c r="AC40" i="12"/>
  <c r="AC68" i="12"/>
  <c r="AD33" i="12" l="1"/>
  <c r="AD34" i="12" s="1"/>
  <c r="AE32" i="12" l="1"/>
  <c r="AD40" i="12"/>
  <c r="AD68" i="12"/>
  <c r="AE33" i="12" l="1"/>
  <c r="AE34" i="12" s="1"/>
  <c r="AF32" i="12" l="1"/>
  <c r="AE40" i="12"/>
  <c r="AE68" i="12"/>
  <c r="AF33" i="12" l="1"/>
  <c r="AF34" i="12" s="1"/>
  <c r="AF40" i="12" l="1"/>
  <c r="AG32" i="12"/>
  <c r="AF68" i="12"/>
  <c r="AG33" i="12" l="1"/>
  <c r="AG34" i="12" s="1"/>
  <c r="AG47" i="12" l="1"/>
  <c r="AG40" i="12"/>
  <c r="AG68" i="12"/>
  <c r="C32" i="14"/>
  <c r="C35" i="14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C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</calcChain>
</file>

<file path=xl/comments1.xml><?xml version="1.0" encoding="utf-8"?>
<comments xmlns="http://schemas.openxmlformats.org/spreadsheetml/2006/main">
  <authors>
    <author>user</author>
  </authors>
  <commentList>
    <comment ref="B1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5" author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P6" authorId="0">
      <text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용량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7" authorId="0">
      <text>
        <r>
          <rPr>
            <b/>
            <sz val="9"/>
            <color indexed="81"/>
            <rFont val="돋움"/>
            <family val="3"/>
            <charset val="129"/>
          </rPr>
          <t>설비내역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별도제시</t>
        </r>
      </text>
    </comment>
    <comment ref="B9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9" authorId="0">
      <text>
        <r>
          <rPr>
            <b/>
            <sz val="9"/>
            <color indexed="81"/>
            <rFont val="돋움"/>
            <family val="3"/>
            <charset val="129"/>
          </rPr>
          <t>실투입비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C18" authorId="0">
      <text>
        <r>
          <rPr>
            <b/>
            <sz val="9"/>
            <color indexed="81"/>
            <rFont val="돋움"/>
            <family val="3"/>
            <charset val="129"/>
          </rPr>
          <t>조달계획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I18" authorId="0">
      <text>
        <r>
          <rPr>
            <b/>
            <sz val="9"/>
            <color indexed="81"/>
            <rFont val="돋움"/>
            <family val="3"/>
            <charset val="129"/>
          </rPr>
          <t>탁상감정평가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의함</t>
        </r>
      </text>
    </comment>
  </commentList>
</comments>
</file>

<file path=xl/comments2.xml><?xml version="1.0" encoding="utf-8"?>
<comments xmlns="http://schemas.openxmlformats.org/spreadsheetml/2006/main">
  <authors>
    <author>user</author>
    <author>SH</author>
  </authors>
  <commentList>
    <comment ref="BH7" author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I7" author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K39" authorId="1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N40" authorId="1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P40" author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M47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BK47" author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M48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BK54" authorId="1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N55" authorId="1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다가구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다세대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연립주택</t>
        </r>
        <r>
          <rPr>
            <sz val="9"/>
            <color indexed="81"/>
            <rFont val="Tahoma"/>
            <family val="2"/>
          </rPr>
          <t xml:space="preserve">: 1,607 </t>
        </r>
        <r>
          <rPr>
            <sz val="9"/>
            <color indexed="81"/>
            <rFont val="돋움"/>
            <family val="3"/>
            <charset val="129"/>
          </rPr>
          <t>아파트</t>
        </r>
        <r>
          <rPr>
            <sz val="9"/>
            <color indexed="81"/>
            <rFont val="Tahoma"/>
            <family val="2"/>
          </rPr>
          <t>:1,695</t>
        </r>
      </text>
    </comment>
    <comment ref="G13" author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B14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G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토지임대료도합쳐야하나
</t>
        </r>
      </text>
    </comment>
  </commentList>
</comments>
</file>

<file path=xl/sharedStrings.xml><?xml version="1.0" encoding="utf-8"?>
<sst xmlns="http://schemas.openxmlformats.org/spreadsheetml/2006/main" count="605" uniqueCount="411">
  <si>
    <t>토지면적</t>
    <phoneticPr fontId="2" type="noConversion"/>
  </si>
  <si>
    <t>연면적</t>
    <phoneticPr fontId="2" type="noConversion"/>
  </si>
  <si>
    <t>용적률</t>
    <phoneticPr fontId="2" type="noConversion"/>
  </si>
  <si>
    <t>PF대출</t>
    <phoneticPr fontId="2" type="noConversion"/>
  </si>
  <si>
    <t>소요재원</t>
    <phoneticPr fontId="2" type="noConversion"/>
  </si>
  <si>
    <t>보증금</t>
    <phoneticPr fontId="2" type="noConversion"/>
  </si>
  <si>
    <t>토지임대료</t>
    <phoneticPr fontId="2" type="noConversion"/>
  </si>
  <si>
    <t>기초</t>
    <phoneticPr fontId="2" type="noConversion"/>
  </si>
  <si>
    <t>기말</t>
    <phoneticPr fontId="2" type="noConversion"/>
  </si>
  <si>
    <t>당기증가</t>
    <phoneticPr fontId="2" type="noConversion"/>
  </si>
  <si>
    <t>주택임대수익</t>
    <phoneticPr fontId="2" type="noConversion"/>
  </si>
  <si>
    <t>상가임대수익</t>
    <phoneticPr fontId="2" type="noConversion"/>
  </si>
  <si>
    <t>이자수익</t>
    <phoneticPr fontId="2" type="noConversion"/>
  </si>
  <si>
    <t>PF이자</t>
    <phoneticPr fontId="2" type="noConversion"/>
  </si>
  <si>
    <t>수선유지비</t>
    <phoneticPr fontId="2" type="noConversion"/>
  </si>
  <si>
    <t>보험료</t>
    <phoneticPr fontId="2" type="noConversion"/>
  </si>
  <si>
    <t>재산세</t>
    <phoneticPr fontId="2" type="noConversion"/>
  </si>
  <si>
    <t>관리비</t>
    <phoneticPr fontId="2" type="noConversion"/>
  </si>
  <si>
    <t>인상기수</t>
    <phoneticPr fontId="2" type="noConversion"/>
  </si>
  <si>
    <t>수선비</t>
    <phoneticPr fontId="2" type="noConversion"/>
  </si>
  <si>
    <t>Inflation</t>
    <phoneticPr fontId="2" type="noConversion"/>
  </si>
  <si>
    <t>운영현금</t>
    <phoneticPr fontId="2" type="noConversion"/>
  </si>
  <si>
    <t>당기 CF</t>
    <phoneticPr fontId="2" type="noConversion"/>
  </si>
  <si>
    <t>누적 CF</t>
    <phoneticPr fontId="2" type="noConversion"/>
  </si>
  <si>
    <t>취득세</t>
    <phoneticPr fontId="2" type="noConversion"/>
  </si>
  <si>
    <t>자본항목</t>
    <phoneticPr fontId="2" type="noConversion"/>
  </si>
  <si>
    <t>운영항목</t>
    <phoneticPr fontId="2" type="noConversion"/>
  </si>
  <si>
    <t>사업자 IRR</t>
    <phoneticPr fontId="2" type="noConversion"/>
  </si>
  <si>
    <t>사업자 CF</t>
    <phoneticPr fontId="2" type="noConversion"/>
  </si>
  <si>
    <t>세대수</t>
    <phoneticPr fontId="2" type="noConversion"/>
  </si>
  <si>
    <t>규모</t>
    <phoneticPr fontId="2" type="noConversion"/>
  </si>
  <si>
    <t>운영기간</t>
    <phoneticPr fontId="2" type="noConversion"/>
  </si>
  <si>
    <t>전세시세</t>
    <phoneticPr fontId="2" type="noConversion"/>
  </si>
  <si>
    <t>보증금 비율</t>
    <phoneticPr fontId="2" type="noConversion"/>
  </si>
  <si>
    <t>최초보증금</t>
    <phoneticPr fontId="2" type="noConversion"/>
  </si>
  <si>
    <t>전월세 전환율</t>
    <phoneticPr fontId="2" type="noConversion"/>
  </si>
  <si>
    <t>적용 전세금</t>
    <phoneticPr fontId="2" type="noConversion"/>
  </si>
  <si>
    <t>최초 임대료</t>
    <phoneticPr fontId="2" type="noConversion"/>
  </si>
  <si>
    <t>공실률</t>
    <phoneticPr fontId="2" type="noConversion"/>
  </si>
  <si>
    <t>임대료</t>
    <phoneticPr fontId="2" type="noConversion"/>
  </si>
  <si>
    <t>■</t>
    <phoneticPr fontId="2" type="noConversion"/>
  </si>
  <si>
    <t>재원조달</t>
    <phoneticPr fontId="2" type="noConversion"/>
  </si>
  <si>
    <t>재산세</t>
  </si>
  <si>
    <t>호수</t>
    <phoneticPr fontId="2" type="noConversion"/>
  </si>
  <si>
    <t>동호</t>
    <phoneticPr fontId="2" type="noConversion"/>
  </si>
  <si>
    <t>최초임대료</t>
    <phoneticPr fontId="2" type="noConversion"/>
  </si>
  <si>
    <t>공정가액비율</t>
    <phoneticPr fontId="2" type="noConversion"/>
  </si>
  <si>
    <t>과세표준</t>
  </si>
  <si>
    <t>과세표준</t>
    <phoneticPr fontId="2" type="noConversion"/>
  </si>
  <si>
    <t>■ 재산세 세율적용</t>
    <phoneticPr fontId="2" type="noConversion"/>
  </si>
  <si>
    <t>초과</t>
  </si>
  <si>
    <t>이하</t>
  </si>
  <si>
    <t>누진세율</t>
  </si>
  <si>
    <t>누진공제</t>
  </si>
  <si>
    <t>세율차</t>
  </si>
  <si>
    <t>단계공제</t>
  </si>
  <si>
    <t>적용세율</t>
  </si>
  <si>
    <t>적용세율</t>
    <phoneticPr fontId="2" type="noConversion"/>
  </si>
  <si>
    <t>산출세액</t>
  </si>
  <si>
    <t>감면율</t>
  </si>
  <si>
    <t>■ 지역자원시설세 구간</t>
  </si>
  <si>
    <t>도시지역분</t>
    <phoneticPr fontId="2" type="noConversion"/>
  </si>
  <si>
    <t>지역자원시설</t>
  </si>
  <si>
    <t>감면액</t>
  </si>
  <si>
    <t>납부세액</t>
  </si>
  <si>
    <t>시가표준액</t>
  </si>
  <si>
    <t>지하주차장비율</t>
  </si>
  <si>
    <t>기타비율</t>
  </si>
  <si>
    <t>주거연면적</t>
    <phoneticPr fontId="2" type="noConversion"/>
  </si>
  <si>
    <t>신축단가</t>
  </si>
  <si>
    <t>구조</t>
  </si>
  <si>
    <t>용도</t>
  </si>
  <si>
    <t>위치지수</t>
  </si>
  <si>
    <t>기준가격</t>
    <phoneticPr fontId="2" type="noConversion"/>
  </si>
  <si>
    <t>합계</t>
    <phoneticPr fontId="2" type="noConversion"/>
  </si>
  <si>
    <t>㎡당</t>
    <phoneticPr fontId="2" type="noConversion"/>
  </si>
  <si>
    <t>▶ 가격정보</t>
    <phoneticPr fontId="2" type="noConversion"/>
  </si>
  <si>
    <t>▶ 재산세 도시지역분</t>
    <phoneticPr fontId="2" type="noConversion"/>
  </si>
  <si>
    <t>▶ 지방교육세</t>
    <phoneticPr fontId="2" type="noConversion"/>
  </si>
  <si>
    <t>지하주차장</t>
    <phoneticPr fontId="2" type="noConversion"/>
  </si>
  <si>
    <t>토지분</t>
    <phoneticPr fontId="2" type="noConversion"/>
  </si>
  <si>
    <t>▶ 납부세액</t>
    <phoneticPr fontId="2" type="noConversion"/>
  </si>
  <si>
    <t>최저납부</t>
    <phoneticPr fontId="2" type="noConversion"/>
  </si>
  <si>
    <t>지방교육세</t>
    <phoneticPr fontId="2" type="noConversion"/>
  </si>
  <si>
    <t>지역자원시설세</t>
    <phoneticPr fontId="2" type="noConversion"/>
  </si>
  <si>
    <t>건물분</t>
    <phoneticPr fontId="2" type="noConversion"/>
  </si>
  <si>
    <t>감면 후</t>
    <phoneticPr fontId="2" type="noConversion"/>
  </si>
  <si>
    <t>감면 전</t>
    <phoneticPr fontId="2" type="noConversion"/>
  </si>
  <si>
    <t>평</t>
    <phoneticPr fontId="2" type="noConversion"/>
  </si>
  <si>
    <t>평당</t>
    <phoneticPr fontId="2" type="noConversion"/>
  </si>
  <si>
    <t>호당</t>
    <phoneticPr fontId="2" type="noConversion"/>
  </si>
  <si>
    <t>자기부담</t>
    <phoneticPr fontId="2" type="noConversion"/>
  </si>
  <si>
    <t>외부조달</t>
    <phoneticPr fontId="2" type="noConversion"/>
  </si>
  <si>
    <t>평당</t>
    <phoneticPr fontId="2" type="noConversion"/>
  </si>
  <si>
    <t>자기자본</t>
    <phoneticPr fontId="2" type="noConversion"/>
  </si>
  <si>
    <t>건설투자</t>
    <phoneticPr fontId="2" type="noConversion"/>
  </si>
  <si>
    <t>투입</t>
    <phoneticPr fontId="2" type="noConversion"/>
  </si>
  <si>
    <t>총부채</t>
    <phoneticPr fontId="2" type="noConversion"/>
  </si>
  <si>
    <t>표준건축비</t>
    <phoneticPr fontId="2" type="noConversion"/>
  </si>
  <si>
    <t>국토부 고시</t>
    <phoneticPr fontId="2" type="noConversion"/>
  </si>
  <si>
    <t>㎡당</t>
    <phoneticPr fontId="2" type="noConversion"/>
  </si>
  <si>
    <t>관리경비</t>
    <phoneticPr fontId="2" type="noConversion"/>
  </si>
  <si>
    <t>기본금액</t>
    <phoneticPr fontId="2" type="noConversion"/>
  </si>
  <si>
    <t>주택유형</t>
    <phoneticPr fontId="2" type="noConversion"/>
  </si>
  <si>
    <t>가산금액</t>
    <phoneticPr fontId="2" type="noConversion"/>
  </si>
  <si>
    <t>승강기</t>
    <phoneticPr fontId="2" type="noConversion"/>
  </si>
  <si>
    <t>기준건축비</t>
    <phoneticPr fontId="2" type="noConversion"/>
  </si>
  <si>
    <t>실투입비</t>
    <phoneticPr fontId="2" type="noConversion"/>
  </si>
  <si>
    <t>소화설비</t>
    <phoneticPr fontId="2" type="noConversion"/>
  </si>
  <si>
    <t>태양열</t>
    <phoneticPr fontId="2" type="noConversion"/>
  </si>
  <si>
    <t>CD금리</t>
    <phoneticPr fontId="2" type="noConversion"/>
  </si>
  <si>
    <t>가산금리</t>
    <phoneticPr fontId="2" type="noConversion"/>
  </si>
  <si>
    <t>보증수수료</t>
    <phoneticPr fontId="2" type="noConversion"/>
  </si>
  <si>
    <t>준공가치</t>
    <phoneticPr fontId="2" type="noConversion"/>
  </si>
  <si>
    <t>상가연면적</t>
    <phoneticPr fontId="2" type="noConversion"/>
  </si>
  <si>
    <t>준공가치</t>
    <phoneticPr fontId="2" type="noConversion"/>
  </si>
  <si>
    <t>PF대출</t>
    <phoneticPr fontId="2" type="noConversion"/>
  </si>
  <si>
    <t>대출금리</t>
    <phoneticPr fontId="2" type="noConversion"/>
  </si>
  <si>
    <t>주택변수</t>
    <phoneticPr fontId="2" type="noConversion"/>
  </si>
  <si>
    <t>상가변수</t>
    <phoneticPr fontId="2" type="noConversion"/>
  </si>
  <si>
    <t>-</t>
    <phoneticPr fontId="2" type="noConversion"/>
  </si>
  <si>
    <t>평가 시 조사</t>
    <phoneticPr fontId="2" type="noConversion"/>
  </si>
  <si>
    <t>임대료인상</t>
    <phoneticPr fontId="2" type="noConversion"/>
  </si>
  <si>
    <t>예치자금 금리</t>
    <phoneticPr fontId="2" type="noConversion"/>
  </si>
  <si>
    <t>Inflation</t>
    <phoneticPr fontId="2" type="noConversion"/>
  </si>
  <si>
    <t>임대료율</t>
    <phoneticPr fontId="2" type="noConversion"/>
  </si>
  <si>
    <t>임대료 인상</t>
    <phoneticPr fontId="2" type="noConversion"/>
  </si>
  <si>
    <t>▶ 재산세</t>
    <phoneticPr fontId="2" type="noConversion"/>
  </si>
  <si>
    <t>주택재산세</t>
    <phoneticPr fontId="2" type="noConversion"/>
  </si>
  <si>
    <t>건물재산세</t>
    <phoneticPr fontId="2" type="noConversion"/>
  </si>
  <si>
    <t>보증금 반환 준비금</t>
    <phoneticPr fontId="2" type="noConversion"/>
  </si>
  <si>
    <t>영업현금흐름-In</t>
    <phoneticPr fontId="2" type="noConversion"/>
  </si>
  <si>
    <t>영업현금흐름-Out</t>
    <phoneticPr fontId="2" type="noConversion"/>
  </si>
  <si>
    <t>상환가능현금</t>
    <phoneticPr fontId="2" type="noConversion"/>
  </si>
  <si>
    <t>PF상환</t>
    <phoneticPr fontId="2" type="noConversion"/>
  </si>
  <si>
    <t>보증금 상환</t>
    <phoneticPr fontId="2" type="noConversion"/>
  </si>
  <si>
    <t>당기감소</t>
    <phoneticPr fontId="2" type="noConversion"/>
  </si>
  <si>
    <t>청산가치</t>
    <phoneticPr fontId="2" type="noConversion"/>
  </si>
  <si>
    <t>채무상환</t>
    <phoneticPr fontId="2" type="noConversion"/>
  </si>
  <si>
    <t>보증금 수입</t>
    <phoneticPr fontId="2" type="noConversion"/>
  </si>
  <si>
    <t>건축물 매각</t>
    <phoneticPr fontId="2" type="noConversion"/>
  </si>
  <si>
    <t>건설기간 임대료</t>
    <phoneticPr fontId="2" type="noConversion"/>
  </si>
  <si>
    <t>금액 직접입력</t>
    <phoneticPr fontId="2" type="noConversion"/>
  </si>
  <si>
    <t>금액 직접입력</t>
    <phoneticPr fontId="2" type="noConversion"/>
  </si>
  <si>
    <t>조달-상환</t>
    <phoneticPr fontId="2" type="noConversion"/>
  </si>
  <si>
    <t>시세의 80%</t>
    <phoneticPr fontId="2" type="noConversion"/>
  </si>
  <si>
    <t>PF 상환율</t>
    <phoneticPr fontId="2" type="noConversion"/>
  </si>
  <si>
    <t>이차보전상한</t>
    <phoneticPr fontId="2" type="noConversion"/>
  </si>
  <si>
    <t>사업자부담액(1.8%)</t>
    <phoneticPr fontId="2" type="noConversion"/>
  </si>
  <si>
    <t>보증수수료</t>
    <phoneticPr fontId="2" type="noConversion"/>
  </si>
  <si>
    <t>이자발생액</t>
    <phoneticPr fontId="2" type="noConversion"/>
  </si>
  <si>
    <t>이차보전액</t>
    <phoneticPr fontId="2" type="noConversion"/>
  </si>
  <si>
    <t>사업자 1차 이체</t>
    <phoneticPr fontId="2" type="noConversion"/>
  </si>
  <si>
    <t>사업자 2차 이체</t>
    <phoneticPr fontId="2" type="noConversion"/>
  </si>
  <si>
    <t>전용</t>
    <phoneticPr fontId="2" type="noConversion"/>
  </si>
  <si>
    <t>대지지분</t>
    <phoneticPr fontId="2" type="noConversion"/>
  </si>
  <si>
    <t>(주거)건축비</t>
    <phoneticPr fontId="2" type="noConversion"/>
  </si>
  <si>
    <t>사업자부담금</t>
    <phoneticPr fontId="2" type="noConversion"/>
  </si>
  <si>
    <t>대출액</t>
    <phoneticPr fontId="2" type="noConversion"/>
  </si>
  <si>
    <t>■ 비용의 단위는 "천원" 입니다.</t>
    <phoneticPr fontId="2" type="noConversion"/>
  </si>
  <si>
    <t>법정</t>
    <phoneticPr fontId="2" type="noConversion"/>
  </si>
  <si>
    <t>법적용적률</t>
    <phoneticPr fontId="2" type="noConversion"/>
  </si>
  <si>
    <t>■</t>
    <phoneticPr fontId="2" type="noConversion"/>
  </si>
  <si>
    <t>재원조달</t>
    <phoneticPr fontId="2" type="noConversion"/>
  </si>
  <si>
    <t>■ 주택변수</t>
    <phoneticPr fontId="2" type="noConversion"/>
  </si>
  <si>
    <t>■ 상가변수</t>
    <phoneticPr fontId="2" type="noConversion"/>
  </si>
  <si>
    <t>▶ 개요</t>
    <phoneticPr fontId="2" type="noConversion"/>
  </si>
  <si>
    <t>▶ 토지공시지가</t>
    <phoneticPr fontId="2" type="noConversion"/>
  </si>
  <si>
    <t>▶ 건물기준시가</t>
    <phoneticPr fontId="2" type="noConversion"/>
  </si>
  <si>
    <t>▶ 지역자원시설세</t>
    <phoneticPr fontId="2" type="noConversion"/>
  </si>
  <si>
    <t>유형</t>
    <phoneticPr fontId="2" type="noConversion"/>
  </si>
  <si>
    <t>전세시세</t>
    <phoneticPr fontId="2" type="noConversion"/>
  </si>
  <si>
    <t>매매시세</t>
    <phoneticPr fontId="2" type="noConversion"/>
  </si>
  <si>
    <t>시세반영율</t>
    <phoneticPr fontId="2" type="noConversion"/>
  </si>
  <si>
    <t>누진공제</t>
    <phoneticPr fontId="2" type="noConversion"/>
  </si>
  <si>
    <t>산출세액</t>
    <phoneticPr fontId="2" type="noConversion"/>
  </si>
  <si>
    <t>감면율</t>
    <phoneticPr fontId="2" type="noConversion"/>
  </si>
  <si>
    <t>감면액</t>
    <phoneticPr fontId="2" type="noConversion"/>
  </si>
  <si>
    <t>납부세액</t>
    <phoneticPr fontId="2" type="noConversion"/>
  </si>
  <si>
    <t>■ 지특법 31조(공동주택 신축+매입, 오피스텔 매입)</t>
    <phoneticPr fontId="2" type="noConversion"/>
  </si>
  <si>
    <t>도시지역분</t>
    <phoneticPr fontId="2" type="noConversion"/>
  </si>
  <si>
    <t>31조</t>
    <phoneticPr fontId="2" type="noConversion"/>
  </si>
  <si>
    <t>공공 30년 이상</t>
    <phoneticPr fontId="2" type="noConversion"/>
  </si>
  <si>
    <t>2세대 이상</t>
    <phoneticPr fontId="2" type="noConversion"/>
  </si>
  <si>
    <t>▶ 개요</t>
    <phoneticPr fontId="2" type="noConversion"/>
  </si>
  <si>
    <t>▶ 토지공시지가</t>
    <phoneticPr fontId="2" type="noConversion"/>
  </si>
  <si>
    <t>▶ 건물기준시가</t>
    <phoneticPr fontId="2" type="noConversion"/>
  </si>
  <si>
    <t>▶ 재산세</t>
    <phoneticPr fontId="2" type="noConversion"/>
  </si>
  <si>
    <t>유형</t>
    <phoneticPr fontId="2" type="noConversion"/>
  </si>
  <si>
    <t>동호</t>
    <phoneticPr fontId="2" type="noConversion"/>
  </si>
  <si>
    <t>호수</t>
    <phoneticPr fontId="2" type="noConversion"/>
  </si>
  <si>
    <t>전용</t>
    <phoneticPr fontId="2" type="noConversion"/>
  </si>
  <si>
    <t>공급</t>
    <phoneticPr fontId="2" type="noConversion"/>
  </si>
  <si>
    <t>대지지분</t>
    <phoneticPr fontId="2" type="noConversion"/>
  </si>
  <si>
    <t>호당</t>
    <phoneticPr fontId="2" type="noConversion"/>
  </si>
  <si>
    <t>기준가격</t>
    <phoneticPr fontId="2" type="noConversion"/>
  </si>
  <si>
    <t>전세시세</t>
    <phoneticPr fontId="2" type="noConversion"/>
  </si>
  <si>
    <t>적용전세</t>
    <phoneticPr fontId="2" type="noConversion"/>
  </si>
  <si>
    <t>최초보증금</t>
    <phoneticPr fontId="2" type="noConversion"/>
  </si>
  <si>
    <t>최초임대료</t>
    <phoneticPr fontId="2" type="noConversion"/>
  </si>
  <si>
    <t>매매시세</t>
    <phoneticPr fontId="2" type="noConversion"/>
  </si>
  <si>
    <t>시가표준</t>
    <phoneticPr fontId="2" type="noConversion"/>
  </si>
  <si>
    <t>공정가액비율</t>
    <phoneticPr fontId="2" type="noConversion"/>
  </si>
  <si>
    <t>세율</t>
    <phoneticPr fontId="2" type="noConversion"/>
  </si>
  <si>
    <t>재산세</t>
    <phoneticPr fontId="2" type="noConversion"/>
  </si>
  <si>
    <t>B101</t>
    <phoneticPr fontId="2" type="noConversion"/>
  </si>
  <si>
    <t>1F</t>
    <phoneticPr fontId="2" type="noConversion"/>
  </si>
  <si>
    <t>■ 지특법 31조의 3(공동주택 신축+매입, 오피스텔 매입)</t>
    <phoneticPr fontId="2" type="noConversion"/>
  </si>
  <si>
    <t>합계</t>
    <phoneticPr fontId="2" type="noConversion"/>
  </si>
  <si>
    <t>8년이상, 2세대 이상</t>
    <phoneticPr fontId="2" type="noConversion"/>
  </si>
  <si>
    <t>공공 30년 이상</t>
    <phoneticPr fontId="2" type="noConversion"/>
  </si>
  <si>
    <t>주거시세지수</t>
    <phoneticPr fontId="2" type="noConversion"/>
  </si>
  <si>
    <t>■ 지특법 31조의 4(공동주택 신축+매입, 오피스텔 신축+매입)</t>
    <phoneticPr fontId="2" type="noConversion"/>
  </si>
  <si>
    <t>주거임대단가</t>
    <phoneticPr fontId="2" type="noConversion"/>
  </si>
  <si>
    <t>도시지역분</t>
    <phoneticPr fontId="2" type="noConversion"/>
  </si>
  <si>
    <t>비고</t>
    <phoneticPr fontId="2" type="noConversion"/>
  </si>
  <si>
    <t>상가임대단가</t>
    <phoneticPr fontId="2" type="noConversion"/>
  </si>
  <si>
    <t>공공 50% 초과출자 리츠</t>
    <phoneticPr fontId="2" type="noConversion"/>
  </si>
  <si>
    <t>■ 건물위치지수</t>
    <phoneticPr fontId="2" type="noConversion"/>
  </si>
  <si>
    <t>지수</t>
    <phoneticPr fontId="2" type="noConversion"/>
  </si>
  <si>
    <t>■ 토지공시지가</t>
    <phoneticPr fontId="2" type="noConversion"/>
  </si>
  <si>
    <t>금액</t>
    <phoneticPr fontId="2" type="noConversion"/>
  </si>
  <si>
    <t>↑임대료탁감 금액 입력</t>
    <phoneticPr fontId="2" type="noConversion"/>
  </si>
  <si>
    <t>←2년마다</t>
    <phoneticPr fontId="2" type="noConversion"/>
  </si>
  <si>
    <t>←조달계획제출 필요</t>
    <phoneticPr fontId="2" type="noConversion"/>
  </si>
  <si>
    <t>■ 시세</t>
    <phoneticPr fontId="2" type="noConversion"/>
  </si>
  <si>
    <t>주택 주변대비 시세</t>
    <phoneticPr fontId="2" type="noConversion"/>
  </si>
  <si>
    <t>상가 주변대비 시세</t>
    <phoneticPr fontId="2" type="noConversion"/>
  </si>
  <si>
    <t>■ 첫해 PF상환율</t>
    <phoneticPr fontId="2" type="noConversion"/>
  </si>
  <si>
    <t>PF상환율</t>
    <phoneticPr fontId="2" type="noConversion"/>
  </si>
  <si>
    <t>←30% 이상 가능</t>
    <phoneticPr fontId="2" type="noConversion"/>
  </si>
  <si>
    <t>↑토지이용규정보서비스나 토지대장 참고하여 작성, 대표지번공시지가적용</t>
    <phoneticPr fontId="2" type="noConversion"/>
  </si>
  <si>
    <t>ex)14억</t>
    <phoneticPr fontId="2" type="noConversion"/>
  </si>
  <si>
    <t>■ 수익률</t>
    <phoneticPr fontId="2" type="noConversion"/>
  </si>
  <si>
    <t>■ 15년차 PF상환여부</t>
    <phoneticPr fontId="2" type="noConversion"/>
  </si>
  <si>
    <t>←TRUE일 경우 PF상환율 증가</t>
    <phoneticPr fontId="2" type="noConversion"/>
  </si>
  <si>
    <t>PF상환 못함</t>
    <phoneticPr fontId="2" type="noConversion"/>
  </si>
  <si>
    <t>보증금비율10%</t>
    <phoneticPr fontId="2" type="noConversion"/>
  </si>
  <si>
    <t>↑1층의 상가일시, 산식에 마지막 숫자가 1.3 인것을 확인!</t>
    <phoneticPr fontId="2" type="noConversion"/>
  </si>
  <si>
    <t>■ 주거 임대료탁감</t>
    <phoneticPr fontId="2" type="noConversion"/>
  </si>
  <si>
    <t>■  상가 임대료탁감</t>
    <phoneticPr fontId="2" type="noConversion"/>
  </si>
  <si>
    <t>▶ 가격정보(임대료를 받지않는 시설의 경우 전세시세에 "1"을 입력</t>
    <phoneticPr fontId="2" type="noConversion"/>
  </si>
  <si>
    <t>← 오류시 :  첫해 PF상환율보증금비율 조정(한도30%)</t>
    <phoneticPr fontId="2" type="noConversion"/>
  </si>
  <si>
    <t xml:space="preserve">                 주택 및 상가 임대료 인상(한도 5%)</t>
    <phoneticPr fontId="2" type="noConversion"/>
  </si>
  <si>
    <t xml:space="preserve">                 보증금 비율 낮추기</t>
    <phoneticPr fontId="2" type="noConversion"/>
  </si>
  <si>
    <t>건축사업비 세부산출내역</t>
  </si>
  <si>
    <t>아래 연면적은 사업자작성1에서 인용, 직접공사비는 다세대 기준 적용 (직접공사비, 철거비, 설계비 등 수치는 모두 예시로 사업별 상황에 맞추어 수정작성 요망)</t>
    <phoneticPr fontId="2" type="noConversion"/>
  </si>
  <si>
    <t>(단위 : 천원)</t>
    <phoneticPr fontId="2" type="noConversion"/>
  </si>
  <si>
    <t>구 분</t>
  </si>
  <si>
    <t>산출근거(천원)</t>
    <phoneticPr fontId="2" type="noConversion"/>
  </si>
  <si>
    <r>
      <t>금 액</t>
    </r>
    <r>
      <rPr>
        <b/>
        <sz val="11"/>
        <color rgb="FF000000"/>
        <rFont val="휴먼명조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천원</t>
    </r>
    <r>
      <rPr>
        <b/>
        <sz val="11"/>
        <color rgb="FF000000"/>
        <rFont val="휴먼명조"/>
        <family val="3"/>
        <charset val="129"/>
      </rPr>
      <t>)</t>
    </r>
    <phoneticPr fontId="2" type="noConversion"/>
  </si>
  <si>
    <t>비 고</t>
  </si>
  <si>
    <t>직접
공사비</t>
    <phoneticPr fontId="2" type="noConversion"/>
  </si>
  <si>
    <t>직접공사비</t>
  </si>
  <si>
    <r>
      <t>재료비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노무비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직접경비(연면적기준)</t>
    </r>
    <phoneticPr fontId="2" type="noConversion"/>
  </si>
  <si>
    <t>인입비</t>
    <phoneticPr fontId="2" type="noConversion"/>
  </si>
  <si>
    <t xml:space="preserve">도시가스, 전기, 수도 등 </t>
    <phoneticPr fontId="2" type="noConversion"/>
  </si>
  <si>
    <t>제곱미터당 102천원</t>
    <phoneticPr fontId="2" type="noConversion"/>
  </si>
  <si>
    <t>금액직접 입력</t>
    <phoneticPr fontId="2" type="noConversion"/>
  </si>
  <si>
    <t>기타</t>
  </si>
  <si>
    <r>
      <t>법정경비</t>
    </r>
    <r>
      <rPr>
        <sz val="11"/>
        <color rgb="FF000000"/>
        <rFont val="맑은 고딕"/>
        <family val="3"/>
        <charset val="129"/>
        <scheme val="minor"/>
      </rPr>
      <t xml:space="preserve"> 등</t>
    </r>
    <phoneticPr fontId="2" type="noConversion"/>
  </si>
  <si>
    <t>⋮</t>
  </si>
  <si>
    <t>소계</t>
  </si>
  <si>
    <r>
      <t xml:space="preserve">연면적 </t>
    </r>
    <r>
      <rPr>
        <sz val="11"/>
        <color rgb="FF000000"/>
        <rFont val="휴먼명조"/>
        <family val="3"/>
        <charset val="129"/>
      </rPr>
      <t>3.3</t>
    </r>
    <r>
      <rPr>
        <sz val="11"/>
        <color rgb="FF000000"/>
        <rFont val="맑은 고딕"/>
        <family val="3"/>
        <charset val="129"/>
        <scheme val="minor"/>
      </rPr>
      <t xml:space="preserve">㎡당 </t>
    </r>
    <r>
      <rPr>
        <sz val="11"/>
        <color rgb="FF000000"/>
        <rFont val="휴먼명조"/>
        <family val="3"/>
        <charset val="129"/>
      </rPr>
      <t>( )</t>
    </r>
    <r>
      <rPr>
        <sz val="11"/>
        <color rgb="FF000000"/>
        <rFont val="맑은 고딕"/>
        <family val="3"/>
        <charset val="129"/>
        <scheme val="minor"/>
      </rPr>
      <t>천원</t>
    </r>
  </si>
  <si>
    <t>간접
공사비</t>
    <phoneticPr fontId="2" type="noConversion"/>
  </si>
  <si>
    <t>설계비</t>
  </si>
  <si>
    <r>
      <t>설계비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지질조사비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측량비등(연면적기준)</t>
    </r>
    <phoneticPr fontId="2" type="noConversion"/>
  </si>
  <si>
    <t>감리비</t>
  </si>
  <si>
    <t>연면적기준</t>
    <phoneticPr fontId="2" type="noConversion"/>
  </si>
  <si>
    <t>부대비용</t>
  </si>
  <si>
    <t>제세공과금</t>
  </si>
  <si>
    <r>
      <t>보존등기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부가세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부담금 등</t>
    </r>
  </si>
  <si>
    <t>일반관리비</t>
    <phoneticPr fontId="2" type="noConversion"/>
  </si>
  <si>
    <t>건축사업비 합계</t>
  </si>
  <si>
    <t>■ 지하주차장 (지상-필로티 포함-주차장은 제외하고 지하에 조성하는 경우에만 기재 : 내용 미기입시에도 반드시 행은 그대로 두어야 함)</t>
    <phoneticPr fontId="2" type="noConversion"/>
  </si>
  <si>
    <t>동호</t>
    <phoneticPr fontId="2" type="noConversion"/>
  </si>
  <si>
    <t>호수</t>
    <phoneticPr fontId="2" type="noConversion"/>
  </si>
  <si>
    <t>전용</t>
    <phoneticPr fontId="2" type="noConversion"/>
  </si>
  <si>
    <t>공급</t>
    <phoneticPr fontId="2" type="noConversion"/>
  </si>
  <si>
    <t>B1F(주차장)</t>
    <phoneticPr fontId="2" type="noConversion"/>
  </si>
  <si>
    <t>B2F(주차장)</t>
    <phoneticPr fontId="2" type="noConversion"/>
  </si>
  <si>
    <t>합계</t>
    <phoneticPr fontId="2" type="noConversion"/>
  </si>
  <si>
    <t>* 지하상가 및 지하주차장이 설치되는 경우에 연면적 산정에는 포함, 용적률 산정에서는 제외</t>
    <phoneticPr fontId="2" type="noConversion"/>
  </si>
  <si>
    <t>■ 상가(ex. 상가시설이 1층만 계획될 시 2층이상부터의 내용은 호수, 전용, 공급에 "0" 기입 : 내용 삭제시 반드시 행은 그대로 두어야 함)</t>
    <phoneticPr fontId="2" type="noConversion"/>
  </si>
  <si>
    <t>서울투자운용㈜</t>
    <phoneticPr fontId="2" type="noConversion"/>
  </si>
  <si>
    <t>호수공급</t>
    <phoneticPr fontId="2" type="noConversion"/>
  </si>
  <si>
    <t>■ 주택(ex. 주거시설이 2~7층만 계획될 시 8층이상부터의 내용은 A~BH까지 내용 삭제)</t>
    <phoneticPr fontId="2" type="noConversion"/>
  </si>
  <si>
    <t>커뮤니티공급</t>
    <phoneticPr fontId="2" type="noConversion"/>
  </si>
  <si>
    <t>A-2R</t>
    <phoneticPr fontId="2" type="noConversion"/>
  </si>
  <si>
    <t>B-1R</t>
    <phoneticPr fontId="2" type="noConversion"/>
  </si>
  <si>
    <t>C-3R</t>
    <phoneticPr fontId="2" type="noConversion"/>
  </si>
  <si>
    <t>D-3R</t>
    <phoneticPr fontId="2" type="noConversion"/>
  </si>
  <si>
    <t>■ 커뮤니티 전용면적 합</t>
    <phoneticPr fontId="2" type="noConversion"/>
  </si>
  <si>
    <t>면적</t>
    <phoneticPr fontId="2" type="noConversion"/>
  </si>
  <si>
    <t>↑커뮤니티 전용면적 합 입력</t>
    <phoneticPr fontId="2" type="noConversion"/>
  </si>
  <si>
    <t>■ 커뮤니티 공급면적 합</t>
    <phoneticPr fontId="2" type="noConversion"/>
  </si>
  <si>
    <t>↑커뮤니티 공용면적 합 입력</t>
    <phoneticPr fontId="2" type="noConversion"/>
  </si>
  <si>
    <t>■ 관리비수입</t>
    <phoneticPr fontId="2" type="noConversion"/>
  </si>
  <si>
    <t>호당월금액</t>
    <phoneticPr fontId="2" type="noConversion"/>
  </si>
  <si>
    <t>■ 관리비지출</t>
    <phoneticPr fontId="2" type="noConversion"/>
  </si>
  <si>
    <t>호당월금액</t>
    <phoneticPr fontId="2" type="noConversion"/>
  </si>
  <si>
    <t>ex)6만원</t>
    <phoneticPr fontId="2" type="noConversion"/>
  </si>
  <si>
    <t>ex)5만원5천원</t>
    <phoneticPr fontId="2" type="noConversion"/>
  </si>
  <si>
    <t xml:space="preserve"> </t>
    <phoneticPr fontId="2" type="noConversion"/>
  </si>
  <si>
    <t>ex)2백5십만원</t>
    <phoneticPr fontId="2" type="noConversion"/>
  </si>
  <si>
    <t>1대</t>
    <phoneticPr fontId="2" type="noConversion"/>
  </si>
  <si>
    <t>기계식주차</t>
    <phoneticPr fontId="2" type="noConversion"/>
  </si>
  <si>
    <t>냉방시설</t>
  </si>
  <si>
    <t>2,000*41</t>
    <phoneticPr fontId="2" type="noConversion"/>
  </si>
  <si>
    <t>천정형에어컨</t>
  </si>
  <si>
    <t>직접공사비*3%</t>
    <phoneticPr fontId="2" type="noConversion"/>
  </si>
  <si>
    <r>
      <t xml:space="preserve">연면적 </t>
    </r>
    <r>
      <rPr>
        <sz val="11"/>
        <color rgb="FF000000"/>
        <rFont val="휴먼명조"/>
        <family val="3"/>
        <charset val="129"/>
      </rPr>
      <t>3.3</t>
    </r>
    <r>
      <rPr>
        <sz val="11"/>
        <color rgb="FF000000"/>
        <rFont val="맑은 고딕"/>
        <family val="3"/>
        <charset val="129"/>
        <scheme val="minor"/>
      </rPr>
      <t xml:space="preserve">㎡당 </t>
    </r>
    <r>
      <rPr>
        <sz val="11"/>
        <color rgb="FF000000"/>
        <rFont val="휴먼명조"/>
        <family val="3"/>
        <charset val="129"/>
      </rPr>
      <t>(5,416)</t>
    </r>
    <r>
      <rPr>
        <sz val="11"/>
        <color rgb="FF000000"/>
        <rFont val="맑은 고딕"/>
        <family val="3"/>
        <charset val="129"/>
        <scheme val="minor"/>
      </rPr>
      <t>천원</t>
    </r>
    <phoneticPr fontId="2" type="noConversion"/>
  </si>
  <si>
    <t>직접공사비*8%</t>
    <phoneticPr fontId="2" type="noConversion"/>
  </si>
  <si>
    <t>직접공사비*2%</t>
    <phoneticPr fontId="2" type="noConversion"/>
  </si>
  <si>
    <t>커뮤니티연면적</t>
    <phoneticPr fontId="2" type="noConversion"/>
  </si>
  <si>
    <t>ex)38억</t>
    <phoneticPr fontId="2" type="noConversion"/>
  </si>
  <si>
    <t>관리비수익</t>
    <phoneticPr fontId="2" type="noConversion"/>
  </si>
  <si>
    <t>관리비수입</t>
    <phoneticPr fontId="2" type="noConversion"/>
  </si>
  <si>
    <t>토목공사비</t>
    <phoneticPr fontId="2" type="noConversion"/>
  </si>
  <si>
    <t>현재시점 금리수정 적용</t>
    <phoneticPr fontId="2" type="noConversion"/>
  </si>
  <si>
    <t>B1F</t>
    <phoneticPr fontId="2" type="noConversion"/>
  </si>
  <si>
    <t xml:space="preserve">* 기존 건축물 철거비와 폐기물 처리는 SH공사에서 완료한 상태에서 토지를 공급하므로 위 건축사업비에서는 제외해야 함  </t>
    <phoneticPr fontId="2" type="noConversion"/>
  </si>
  <si>
    <t>(신축)</t>
    <phoneticPr fontId="2" type="noConversion"/>
  </si>
  <si>
    <t>(리모델링)</t>
    <phoneticPr fontId="2" type="noConversion"/>
  </si>
  <si>
    <t>(신축)</t>
    <phoneticPr fontId="2" type="noConversion"/>
  </si>
  <si>
    <t>(신축)</t>
    <phoneticPr fontId="2" type="noConversion"/>
  </si>
  <si>
    <t>(리모델링)</t>
    <phoneticPr fontId="2" type="noConversion"/>
  </si>
  <si>
    <t>주거연면적</t>
    <phoneticPr fontId="2" type="noConversion"/>
  </si>
  <si>
    <t>커뮤니티연면적</t>
    <phoneticPr fontId="2" type="noConversion"/>
  </si>
  <si>
    <t>단위면적당공사비</t>
    <phoneticPr fontId="2" type="noConversion"/>
  </si>
  <si>
    <t>전체공사비</t>
    <phoneticPr fontId="2" type="noConversion"/>
  </si>
  <si>
    <t>평</t>
    <phoneticPr fontId="2" type="noConversion"/>
  </si>
  <si>
    <t>평</t>
    <phoneticPr fontId="2" type="noConversion"/>
  </si>
  <si>
    <t>평</t>
    <phoneticPr fontId="2" type="noConversion"/>
  </si>
  <si>
    <t>다세대주택</t>
  </si>
  <si>
    <t>다가구주택</t>
  </si>
  <si>
    <t>사업개요1</t>
    <phoneticPr fontId="2" type="noConversion"/>
  </si>
  <si>
    <t>사업개요2</t>
    <phoneticPr fontId="2" type="noConversion"/>
  </si>
  <si>
    <t>건설변수1</t>
    <phoneticPr fontId="2" type="noConversion"/>
  </si>
  <si>
    <t>건설변수2</t>
    <phoneticPr fontId="2" type="noConversion"/>
  </si>
  <si>
    <t>토지변수1</t>
    <phoneticPr fontId="2" type="noConversion"/>
  </si>
  <si>
    <t>토지변수2</t>
    <phoneticPr fontId="2" type="noConversion"/>
  </si>
  <si>
    <t>■ 건설변수1</t>
    <phoneticPr fontId="2" type="noConversion"/>
  </si>
  <si>
    <t>사업개요1</t>
    <phoneticPr fontId="2" type="noConversion"/>
  </si>
  <si>
    <t>사업개요2</t>
    <phoneticPr fontId="2" type="noConversion"/>
  </si>
  <si>
    <t>■ 토지변수1</t>
    <phoneticPr fontId="2" type="noConversion"/>
  </si>
  <si>
    <t>■ 토지변수2</t>
    <phoneticPr fontId="2" type="noConversion"/>
  </si>
  <si>
    <t>←조정가능</t>
    <phoneticPr fontId="2" type="noConversion"/>
  </si>
  <si>
    <t>■ 건설변수2</t>
    <phoneticPr fontId="2" type="noConversion"/>
  </si>
  <si>
    <t>총취득비용</t>
    <phoneticPr fontId="2" type="noConversion"/>
  </si>
  <si>
    <t>12개월기준</t>
    <phoneticPr fontId="2" type="noConversion"/>
  </si>
  <si>
    <t>6개월기준</t>
    <phoneticPr fontId="2" type="noConversion"/>
  </si>
  <si>
    <t>실투입비(A)</t>
    <phoneticPr fontId="2" type="noConversion"/>
  </si>
  <si>
    <t>전체공사비(B)</t>
    <phoneticPr fontId="2" type="noConversion"/>
  </si>
  <si>
    <t>건축비 합계(A+B)</t>
    <phoneticPr fontId="2" type="noConversion"/>
  </si>
  <si>
    <t>리모델링부는 제외</t>
    <phoneticPr fontId="2" type="noConversion"/>
  </si>
  <si>
    <t>신축건축비+공사기간임대료 기준</t>
    <phoneticPr fontId="2" type="noConversion"/>
  </si>
  <si>
    <t>(리모델링은 제외)</t>
    <phoneticPr fontId="2" type="noConversion"/>
  </si>
  <si>
    <t>1) 신축</t>
    <phoneticPr fontId="2" type="noConversion"/>
  </si>
  <si>
    <t>2) 리모델링</t>
    <phoneticPr fontId="2" type="noConversion"/>
  </si>
  <si>
    <r>
      <t>1,250*2,398 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</si>
  <si>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40*2,398 m²</t>
    <phoneticPr fontId="2" type="noConversion"/>
  </si>
  <si>
    <t>20*2,398 m²</t>
    <phoneticPr fontId="2" type="noConversion"/>
  </si>
  <si>
    <t>30*130 m²</t>
    <phoneticPr fontId="2" type="noConversion"/>
  </si>
  <si>
    <t>30*2,398 m²</t>
    <phoneticPr fontId="2" type="noConversion"/>
  </si>
  <si>
    <t>85*2,398 m²</t>
    <phoneticPr fontId="2" type="noConversion"/>
  </si>
  <si>
    <r>
      <t>650*130 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</si>
  <si>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2,000*3</t>
    <phoneticPr fontId="2" type="noConversion"/>
  </si>
  <si>
    <r>
      <t>60*130m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</si>
  <si>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30*130m²</t>
    <phoneticPr fontId="2" type="noConversion"/>
  </si>
  <si>
    <r>
      <t>부가세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부담금 등</t>
    </r>
    <phoneticPr fontId="2" type="noConversion"/>
  </si>
  <si>
    <t>직접공사비*5%</t>
    <phoneticPr fontId="2" type="noConversion"/>
  </si>
  <si>
    <t>단위면적당 공사비</t>
    <phoneticPr fontId="2" type="noConversion"/>
  </si>
  <si>
    <t>제곱미터당</t>
    <phoneticPr fontId="2" type="noConversion"/>
  </si>
  <si>
    <t>감정평가액</t>
    <phoneticPr fontId="2" type="noConversion"/>
  </si>
  <si>
    <t>감정평가액</t>
    <phoneticPr fontId="2" type="noConversion"/>
  </si>
  <si>
    <t>감정평가액</t>
    <phoneticPr fontId="2" type="noConversion"/>
  </si>
  <si>
    <t>인상율</t>
    <phoneticPr fontId="2" type="noConversion"/>
  </si>
  <si>
    <t>2년 마다</t>
    <phoneticPr fontId="2" type="noConversion"/>
  </si>
  <si>
    <t>공모지침서 붙임4</t>
    <phoneticPr fontId="2" type="noConversion"/>
  </si>
  <si>
    <t>소요재원</t>
  </si>
  <si>
    <t>연번</t>
  </si>
  <si>
    <t>주소</t>
  </si>
  <si>
    <t>토지 평가액</t>
    <phoneticPr fontId="2" type="noConversion"/>
  </si>
  <si>
    <t>사업1</t>
  </si>
  <si>
    <r>
      <t xml:space="preserve">정릉동 </t>
    </r>
    <r>
      <rPr>
        <b/>
        <sz val="10"/>
        <color rgb="FF000000"/>
        <rFont val="함초롬바탕"/>
        <family val="1"/>
        <charset val="129"/>
      </rPr>
      <t>559-132</t>
    </r>
  </si>
  <si>
    <r>
      <t xml:space="preserve">정릉동 </t>
    </r>
    <r>
      <rPr>
        <b/>
        <sz val="10"/>
        <color rgb="FF000000"/>
        <rFont val="함초롬바탕"/>
        <family val="1"/>
        <charset val="129"/>
      </rPr>
      <t>559-48</t>
    </r>
  </si>
  <si>
    <r>
      <t xml:space="preserve">창신동 </t>
    </r>
    <r>
      <rPr>
        <b/>
        <sz val="10"/>
        <color rgb="FF000000"/>
        <rFont val="함초롬바탕"/>
        <family val="1"/>
        <charset val="129"/>
      </rPr>
      <t>627-157</t>
    </r>
  </si>
  <si>
    <t>사업1 합계</t>
  </si>
  <si>
    <t>사업2</t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</si>
  <si>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2-2</t>
    </r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</si>
  <si>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2-3</t>
    </r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</si>
  <si>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2-4</t>
    </r>
  </si>
  <si>
    <r>
      <t xml:space="preserve">갈현동 </t>
    </r>
    <r>
      <rPr>
        <b/>
        <sz val="10"/>
        <color rgb="FF000000"/>
        <rFont val="함초롬바탕"/>
        <family val="1"/>
        <charset val="129"/>
      </rPr>
      <t>504-10</t>
    </r>
  </si>
  <si>
    <t>사업2 합계</t>
  </si>
  <si>
    <t>사업3</t>
  </si>
  <si>
    <r>
      <t xml:space="preserve">연희동 </t>
    </r>
    <r>
      <rPr>
        <b/>
        <sz val="10"/>
        <color rgb="FF000000"/>
        <rFont val="함초롬바탕"/>
        <family val="1"/>
        <charset val="129"/>
      </rPr>
      <t>88-30</t>
    </r>
  </si>
  <si>
    <r>
      <t xml:space="preserve">미아동 </t>
    </r>
    <r>
      <rPr>
        <b/>
        <sz val="10"/>
        <color rgb="FF000000"/>
        <rFont val="함초롬바탕"/>
        <family val="1"/>
        <charset val="129"/>
      </rPr>
      <t>791-1990</t>
    </r>
  </si>
  <si>
    <t>사업3 합계</t>
  </si>
  <si>
    <t>사업4</t>
  </si>
  <si>
    <r>
      <t xml:space="preserve">부암동 </t>
    </r>
    <r>
      <rPr>
        <b/>
        <sz val="10"/>
        <color rgb="FF000000"/>
        <rFont val="함초롬바탕"/>
        <family val="1"/>
        <charset val="129"/>
      </rPr>
      <t>208-20</t>
    </r>
  </si>
  <si>
    <r>
      <t xml:space="preserve">미아동 </t>
    </r>
    <r>
      <rPr>
        <b/>
        <sz val="10"/>
        <color rgb="FF000000"/>
        <rFont val="함초롬바탕"/>
        <family val="1"/>
        <charset val="129"/>
      </rPr>
      <t>762-70</t>
    </r>
  </si>
  <si>
    <t>사업4 합계</t>
  </si>
  <si>
    <t>■ 자율형을 리모델링하는 경우에만 본 엑셀양식의 리모델링 해당부분에 작성하시고 자율형을 신축하는경우는 본 엑셀양식을 1.신축형 2. 자율형(신축형) 2가지 만드셔서 신축형 해당란에(리모델링형은 공란) 작성하여 제출하셔야합니다.</t>
    <phoneticPr fontId="2" type="noConversion"/>
  </si>
  <si>
    <t>* 주거전용면적의 10%이상을 입주자 전용 커뮤니티 공간(미임대, 직접운영)으로 설정해야함</t>
    <phoneticPr fontId="2" type="noConversion"/>
  </si>
  <si>
    <t xml:space="preserve">  *추후 홈페이지에 게시되는 질의 응답 답변서에 안내될예정임망</t>
    <phoneticPr fontId="2" type="noConversion"/>
  </si>
  <si>
    <t xml:space="preserve">■ 사업자는 노란색 칸의 내용만 작성해주시면 됩니다. 현재입력된 금액은 예시금액이므로 추후 수정하셔야합니다. 흰색 칸은 수치가 자동산출되므로 임의로 숫자를 기입하시면 안됩니다. </t>
    <phoneticPr fontId="2" type="noConversion"/>
  </si>
  <si>
    <t xml:space="preserve">■ 사업자는 노란색 칸의 내용만 작성해주시면 됩니다. 현재입력된 금액은 예시금액이므로 추후 수정하셔야합니다. 흰색 칸은 수치가 자동산출되므로 임의로 숫자를 기입하시면 안됩니다. </t>
    <phoneticPr fontId="2" type="noConversion"/>
  </si>
  <si>
    <t xml:space="preserve">  *사업비 산출에 필요한 토지 감정평가액 홈페이지에 게시되는 질의 응답 답변서 추후 반드시 확인하여 기재요망(예정)</t>
    <phoneticPr fontId="2" type="noConversion"/>
  </si>
  <si>
    <t>←탁감 시 조사 된 내용 (홈페이지에 게시되는 질의 응답 답변서 추후 반드시 확인하여 기재요망(예정))</t>
    <phoneticPr fontId="2" type="noConversion"/>
  </si>
  <si>
    <t xml:space="preserve"> *산출에 필요한 탁감금액은 홈페이지에 게시되는 질의 응답 답변서 추후 반드시 확인하여 기재요망(예정)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</si>
</sst>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_-* #,##0.00_-;\-* #,##0.00_-;_-* &quot;-&quot;_-;_-@_-"/>
    <numFmt numFmtId="179" formatCode="_(* #,##0.00_);_(* \(#,##0.00\);_(* &quot;-&quot;??_);_(@_)"/>
    <numFmt numFmtId="180" formatCode="0.0&quot;㎡&quot;"/>
    <numFmt numFmtId="181" formatCode="0.0&quot;py&quot;"/>
    <numFmt numFmtId="182" formatCode="&quot;@&quot;#,##0&quot; / py&quot;"/>
    <numFmt numFmtId="183" formatCode="&quot;전용 &quot;0.0&quot;㎡&quot;"/>
    <numFmt numFmtId="184" formatCode="#,##0&quot;년&quot;"/>
    <numFmt numFmtId="185" formatCode="&quot;@&quot;#,##0"/>
    <numFmt numFmtId="186" formatCode="&quot;시세 대비&quot;\ 0%"/>
    <numFmt numFmtId="187" formatCode="&quot;@&quot;#,##0\ &quot;/月&quot;"/>
    <numFmt numFmtId="188" formatCode="General&quot;년 마다&quot;"/>
    <numFmt numFmtId="189" formatCode="_-* #,##0.0_-;\-* #,##0.0_-;_-* &quot;-&quot;_-;_-@_-"/>
    <numFmt numFmtId="190" formatCode="0.00&quot;㎡&quot;"/>
    <numFmt numFmtId="191" formatCode="&quot;₩&quot;#,##0&quot;/호,年&quot;"/>
    <numFmt numFmtId="192" formatCode="&quot;@&quot;#,##0\ &quot;/年&quot;"/>
    <numFmt numFmtId="193" formatCode="0.0"/>
  </numFmts>
  <fonts count="6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휴먼명조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휴먼명조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8"/>
      <color rgb="FFFF00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8"/>
      <name val="맑은 고딕"/>
      <family val="2"/>
      <charset val="129"/>
      <scheme val="minor"/>
    </font>
    <font>
      <b/>
      <sz val="8"/>
      <color theme="8"/>
      <name val="맑은 고딕"/>
      <family val="3"/>
      <charset val="129"/>
      <scheme val="minor"/>
    </font>
    <font>
      <sz val="10"/>
      <color theme="8"/>
      <name val="맑은 고딕"/>
      <family val="3"/>
      <charset val="129"/>
      <scheme val="minor"/>
    </font>
    <font>
      <b/>
      <sz val="13"/>
      <color rgb="FFFF0000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E03ED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rgb="FF000000"/>
      <name val="함초롬바탕"/>
      <family val="1"/>
      <charset val="129"/>
    </font>
    <font>
      <sz val="1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rgb="FF0E03ED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/>
    <xf numFmtId="179" fontId="5" fillId="0" borderId="0"/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2" applyFont="1">
      <alignment vertical="center"/>
    </xf>
    <xf numFmtId="177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10" fontId="0" fillId="0" borderId="0" xfId="0" applyNumberFormat="1">
      <alignment vertical="center"/>
    </xf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9" fontId="0" fillId="0" borderId="0" xfId="0" applyNumberFormat="1">
      <alignment vertical="center"/>
    </xf>
    <xf numFmtId="176" fontId="0" fillId="0" borderId="0" xfId="2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0" fontId="0" fillId="0" borderId="5" xfId="0" applyNumberFormat="1" applyBorder="1">
      <alignment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0" fontId="0" fillId="0" borderId="0" xfId="0" applyBorder="1" applyAlignment="1">
      <alignment horizontal="right"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180" fontId="7" fillId="0" borderId="0" xfId="0" applyNumberFormat="1" applyFont="1">
      <alignment vertical="center"/>
    </xf>
    <xf numFmtId="0" fontId="0" fillId="0" borderId="0" xfId="0" quotePrefix="1" applyFill="1" applyBorder="1" applyAlignment="1">
      <alignment horizontal="right" vertical="center"/>
    </xf>
    <xf numFmtId="184" fontId="0" fillId="0" borderId="0" xfId="0" applyNumberFormat="1">
      <alignment vertical="center"/>
    </xf>
    <xf numFmtId="43" fontId="0" fillId="0" borderId="0" xfId="0" applyNumberFormat="1">
      <alignment vertical="center"/>
    </xf>
    <xf numFmtId="180" fontId="7" fillId="0" borderId="0" xfId="0" applyNumberFormat="1" applyFont="1" applyAlignment="1">
      <alignment horizontal="center" vertical="center"/>
    </xf>
    <xf numFmtId="10" fontId="0" fillId="0" borderId="7" xfId="2" applyNumberFormat="1" applyFon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8" fontId="0" fillId="0" borderId="7" xfId="1" applyNumberFormat="1" applyFont="1" applyBorder="1">
      <alignment vertical="center"/>
    </xf>
    <xf numFmtId="43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9" fontId="0" fillId="0" borderId="7" xfId="2" applyFont="1" applyBorder="1">
      <alignment vertical="center"/>
    </xf>
    <xf numFmtId="0" fontId="0" fillId="0" borderId="7" xfId="0" applyFill="1" applyBorder="1">
      <alignment vertical="center"/>
    </xf>
    <xf numFmtId="190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3" fontId="0" fillId="0" borderId="0" xfId="1" applyNumberFormat="1" applyFont="1">
      <alignment vertical="center"/>
    </xf>
    <xf numFmtId="0" fontId="0" fillId="0" borderId="5" xfId="0" applyBorder="1" applyAlignment="1">
      <alignment horizontal="left" vertical="center"/>
    </xf>
    <xf numFmtId="177" fontId="0" fillId="0" borderId="0" xfId="0" applyNumberFormat="1" applyBorder="1">
      <alignment vertical="center"/>
    </xf>
    <xf numFmtId="0" fontId="0" fillId="0" borderId="8" xfId="0" applyBorder="1">
      <alignment vertical="center"/>
    </xf>
    <xf numFmtId="189" fontId="0" fillId="0" borderId="0" xfId="1" applyNumberFormat="1" applyFont="1">
      <alignment vertical="center"/>
    </xf>
    <xf numFmtId="0" fontId="0" fillId="0" borderId="8" xfId="0" applyFill="1" applyBorder="1" applyAlignment="1">
      <alignment horizontal="center" vertical="center"/>
    </xf>
    <xf numFmtId="9" fontId="0" fillId="0" borderId="0" xfId="2" quotePrefix="1" applyFont="1" applyFill="1" applyBorder="1" applyAlignment="1">
      <alignment horizontal="right" vertical="center"/>
    </xf>
    <xf numFmtId="0" fontId="0" fillId="0" borderId="0" xfId="0" quotePrefix="1" applyFill="1" applyBorder="1" applyAlignment="1">
      <alignment horizontal="left" vertical="center"/>
    </xf>
    <xf numFmtId="41" fontId="0" fillId="0" borderId="0" xfId="1" applyFont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0" fillId="0" borderId="0" xfId="2" applyNumberFormat="1" applyFont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187" fontId="0" fillId="0" borderId="0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91" fontId="0" fillId="0" borderId="0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41" fontId="0" fillId="0" borderId="7" xfId="1" applyNumberFormat="1" applyFont="1" applyFill="1" applyBorder="1" applyAlignment="1">
      <alignment horizontal="center" vertical="center"/>
    </xf>
    <xf numFmtId="43" fontId="0" fillId="0" borderId="0" xfId="1" applyNumberFormat="1" applyFont="1" applyFill="1">
      <alignment vertical="center"/>
    </xf>
    <xf numFmtId="41" fontId="0" fillId="0" borderId="0" xfId="1" applyFont="1" applyFill="1">
      <alignment vertical="center"/>
    </xf>
    <xf numFmtId="41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7" fillId="10" borderId="0" xfId="1" applyNumberFormat="1" applyFont="1" applyFill="1" applyAlignment="1">
      <alignment horizontal="center" vertical="center"/>
    </xf>
    <xf numFmtId="41" fontId="7" fillId="10" borderId="0" xfId="1" applyFont="1" applyFill="1" applyAlignment="1">
      <alignment horizontal="center" vertical="center"/>
    </xf>
    <xf numFmtId="0" fontId="0" fillId="11" borderId="0" xfId="0" applyFill="1">
      <alignment vertical="center"/>
    </xf>
    <xf numFmtId="0" fontId="0" fillId="13" borderId="0" xfId="0" applyFill="1">
      <alignment vertical="center"/>
    </xf>
    <xf numFmtId="181" fontId="0" fillId="0" borderId="0" xfId="0" applyNumberFormat="1" applyAlignment="1">
      <alignment horizontal="right" vertical="center"/>
    </xf>
    <xf numFmtId="185" fontId="0" fillId="0" borderId="0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10" fontId="0" fillId="4" borderId="2" xfId="0" applyNumberFormat="1" applyFill="1" applyBorder="1">
      <alignment vertical="center"/>
    </xf>
    <xf numFmtId="178" fontId="0" fillId="0" borderId="0" xfId="1" applyNumberFormat="1" applyFont="1">
      <alignment vertical="center"/>
    </xf>
    <xf numFmtId="10" fontId="0" fillId="0" borderId="0" xfId="2" applyNumberFormat="1" applyFont="1" applyAlignment="1">
      <alignment horizontal="center" vertical="center"/>
    </xf>
    <xf numFmtId="0" fontId="12" fillId="0" borderId="0" xfId="0" applyFont="1" applyFill="1" applyBorder="1">
      <alignment vertical="center"/>
    </xf>
    <xf numFmtId="41" fontId="12" fillId="0" borderId="0" xfId="0" applyNumberFormat="1" applyFont="1" applyFill="1" applyBorder="1">
      <alignment vertical="center"/>
    </xf>
    <xf numFmtId="10" fontId="12" fillId="0" borderId="0" xfId="0" applyNumberFormat="1" applyFont="1" applyFill="1" applyBorder="1">
      <alignment vertical="center"/>
    </xf>
    <xf numFmtId="9" fontId="12" fillId="0" borderId="0" xfId="1" applyNumberFormat="1" applyFont="1" applyFill="1" applyBorder="1">
      <alignment vertical="center"/>
    </xf>
    <xf numFmtId="41" fontId="12" fillId="0" borderId="0" xfId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2" applyNumberFormat="1" applyFont="1" applyFill="1" applyBorder="1">
      <alignment vertical="center"/>
    </xf>
    <xf numFmtId="41" fontId="12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41" fontId="0" fillId="0" borderId="11" xfId="0" applyNumberFormat="1" applyBorder="1">
      <alignment vertical="center"/>
    </xf>
    <xf numFmtId="0" fontId="18" fillId="0" borderId="12" xfId="0" applyFont="1" applyBorder="1" applyAlignment="1">
      <alignment horizontal="left" vertical="center"/>
    </xf>
    <xf numFmtId="41" fontId="18" fillId="0" borderId="0" xfId="1" applyFont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10" fontId="16" fillId="0" borderId="0" xfId="2" applyNumberFormat="1" applyFont="1">
      <alignment vertical="center"/>
    </xf>
    <xf numFmtId="0" fontId="0" fillId="11" borderId="0" xfId="0" applyFill="1" applyAlignment="1">
      <alignment horizontal="right" vertical="center"/>
    </xf>
    <xf numFmtId="41" fontId="0" fillId="11" borderId="0" xfId="1" applyFont="1" applyFill="1">
      <alignment vertical="center"/>
    </xf>
    <xf numFmtId="41" fontId="0" fillId="0" borderId="0" xfId="0" quotePrefix="1" applyNumberFormat="1" applyFill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7" fontId="0" fillId="0" borderId="15" xfId="0" applyNumberFormat="1" applyBorder="1" applyAlignment="1">
      <alignment horizontal="right" vertical="center"/>
    </xf>
    <xf numFmtId="0" fontId="16" fillId="11" borderId="0" xfId="0" applyFont="1" applyFill="1" applyAlignment="1">
      <alignment horizontal="right" vertical="center"/>
    </xf>
    <xf numFmtId="10" fontId="16" fillId="11" borderId="0" xfId="2" applyNumberFormat="1" applyFont="1" applyFill="1">
      <alignment vertical="center"/>
    </xf>
    <xf numFmtId="10" fontId="0" fillId="0" borderId="0" xfId="1" applyNumberFormat="1" applyFont="1">
      <alignment vertical="center"/>
    </xf>
    <xf numFmtId="9" fontId="0" fillId="0" borderId="0" xfId="1" applyNumberFormat="1" applyFo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41" fontId="0" fillId="0" borderId="0" xfId="1" applyFont="1" applyAlignment="1">
      <alignment vertical="center"/>
    </xf>
    <xf numFmtId="9" fontId="0" fillId="0" borderId="0" xfId="1" applyNumberFormat="1" applyFont="1" applyAlignment="1">
      <alignment vertical="center"/>
    </xf>
    <xf numFmtId="41" fontId="0" fillId="0" borderId="5" xfId="1" applyFont="1" applyBorder="1" applyAlignment="1">
      <alignment horizontal="center" vertical="center"/>
    </xf>
    <xf numFmtId="180" fontId="7" fillId="2" borderId="7" xfId="0" applyNumberFormat="1" applyFont="1" applyFill="1" applyBorder="1">
      <alignment vertical="center"/>
    </xf>
    <xf numFmtId="176" fontId="0" fillId="2" borderId="7" xfId="0" applyNumberFormat="1" applyFill="1" applyBorder="1">
      <alignment vertical="center"/>
    </xf>
    <xf numFmtId="41" fontId="0" fillId="0" borderId="7" xfId="0" applyNumberFormat="1" applyBorder="1">
      <alignment vertical="center"/>
    </xf>
    <xf numFmtId="41" fontId="0" fillId="2" borderId="7" xfId="1" applyFont="1" applyFill="1" applyBorder="1">
      <alignment vertical="center"/>
    </xf>
    <xf numFmtId="9" fontId="0" fillId="2" borderId="7" xfId="0" applyNumberFormat="1" applyFill="1" applyBorder="1">
      <alignment vertical="center"/>
    </xf>
    <xf numFmtId="0" fontId="0" fillId="17" borderId="7" xfId="0" applyFill="1" applyBorder="1">
      <alignment vertical="center"/>
    </xf>
    <xf numFmtId="0" fontId="0" fillId="17" borderId="0" xfId="0" applyFill="1" applyBorder="1">
      <alignment vertical="center"/>
    </xf>
    <xf numFmtId="41" fontId="0" fillId="17" borderId="0" xfId="1" applyFont="1" applyFill="1" applyBorder="1">
      <alignment vertical="center"/>
    </xf>
    <xf numFmtId="0" fontId="0" fillId="17" borderId="0" xfId="0" applyFill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185" fontId="0" fillId="17" borderId="0" xfId="0" applyNumberFormat="1" applyFill="1" applyAlignment="1">
      <alignment horizontal="right" vertical="center"/>
    </xf>
    <xf numFmtId="185" fontId="0" fillId="17" borderId="0" xfId="0" applyNumberFormat="1" applyFill="1" applyBorder="1" applyAlignment="1">
      <alignment horizontal="right" vertical="center"/>
    </xf>
    <xf numFmtId="185" fontId="0" fillId="2" borderId="7" xfId="0" applyNumberFormat="1" applyFill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41" fontId="18" fillId="0" borderId="7" xfId="1" applyFont="1" applyBorder="1" applyAlignment="1">
      <alignment horizontal="right" vertical="center"/>
    </xf>
    <xf numFmtId="41" fontId="0" fillId="17" borderId="0" xfId="1" applyFont="1" applyFill="1">
      <alignment vertical="center"/>
    </xf>
    <xf numFmtId="0" fontId="14" fillId="17" borderId="0" xfId="0" applyFont="1" applyFill="1" applyBorder="1" applyAlignment="1">
      <alignment horizontal="right" vertical="center"/>
    </xf>
    <xf numFmtId="0" fontId="0" fillId="17" borderId="0" xfId="0" applyFill="1" applyBorder="1" applyAlignment="1">
      <alignment horizontal="left" vertical="center"/>
    </xf>
    <xf numFmtId="0" fontId="0" fillId="17" borderId="7" xfId="0" applyFill="1" applyBorder="1" applyAlignment="1">
      <alignment horizontal="left" vertical="center"/>
    </xf>
    <xf numFmtId="10" fontId="7" fillId="0" borderId="0" xfId="2" applyNumberFormat="1" applyFont="1">
      <alignment vertical="center"/>
    </xf>
    <xf numFmtId="9" fontId="0" fillId="0" borderId="0" xfId="1" applyNumberFormat="1" applyFont="1" applyAlignment="1">
      <alignment horizontal="right" vertical="center"/>
    </xf>
    <xf numFmtId="9" fontId="0" fillId="2" borderId="7" xfId="2" applyFont="1" applyFill="1" applyBorder="1">
      <alignment vertical="center"/>
    </xf>
    <xf numFmtId="41" fontId="7" fillId="17" borderId="7" xfId="1" applyFont="1" applyFill="1" applyBorder="1">
      <alignment vertical="center"/>
    </xf>
    <xf numFmtId="177" fontId="0" fillId="17" borderId="0" xfId="1" applyNumberFormat="1" applyFont="1" applyFill="1" applyBorder="1" applyAlignment="1">
      <alignment horizontal="right" vertical="center"/>
    </xf>
    <xf numFmtId="183" fontId="0" fillId="17" borderId="0" xfId="0" applyNumberFormat="1" applyFill="1" applyBorder="1" applyAlignment="1">
      <alignment horizontal="right" vertical="center"/>
    </xf>
    <xf numFmtId="0" fontId="0" fillId="17" borderId="0" xfId="0" quotePrefix="1" applyFill="1" applyBorder="1" applyAlignment="1">
      <alignment horizontal="left" vertical="center"/>
    </xf>
    <xf numFmtId="9" fontId="0" fillId="17" borderId="0" xfId="2" applyFont="1" applyFill="1" applyBorder="1" applyAlignment="1">
      <alignment horizontal="right" vertical="center"/>
    </xf>
    <xf numFmtId="176" fontId="0" fillId="17" borderId="0" xfId="0" applyNumberFormat="1" applyFill="1" applyBorder="1">
      <alignment vertical="center"/>
    </xf>
    <xf numFmtId="177" fontId="0" fillId="17" borderId="0" xfId="1" applyNumberFormat="1" applyFont="1" applyFill="1" applyBorder="1">
      <alignment vertical="center"/>
    </xf>
    <xf numFmtId="188" fontId="0" fillId="17" borderId="0" xfId="0" applyNumberFormat="1" applyFill="1" applyBorder="1" applyAlignment="1">
      <alignment horizontal="left" vertical="center"/>
    </xf>
    <xf numFmtId="188" fontId="0" fillId="17" borderId="0" xfId="0" applyNumberFormat="1" applyFill="1" applyBorder="1" applyAlignment="1">
      <alignment horizontal="right" vertical="center"/>
    </xf>
    <xf numFmtId="177" fontId="0" fillId="17" borderId="0" xfId="0" applyNumberFormat="1" applyFill="1" applyBorder="1">
      <alignment vertical="center"/>
    </xf>
    <xf numFmtId="185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center" vertical="center"/>
    </xf>
    <xf numFmtId="180" fontId="7" fillId="2" borderId="0" xfId="0" applyNumberFormat="1" applyFont="1" applyFill="1" applyAlignment="1">
      <alignment horizontal="center" vertical="center"/>
    </xf>
    <xf numFmtId="10" fontId="0" fillId="0" borderId="0" xfId="2" applyNumberFormat="1" applyFont="1" applyBorder="1">
      <alignment vertical="center"/>
    </xf>
    <xf numFmtId="178" fontId="0" fillId="0" borderId="0" xfId="1" applyNumberFormat="1" applyFont="1" applyBorder="1">
      <alignment vertical="center"/>
    </xf>
    <xf numFmtId="180" fontId="7" fillId="0" borderId="0" xfId="0" applyNumberFormat="1" applyFont="1" applyFill="1" applyAlignment="1">
      <alignment horizontal="center" vertical="center"/>
    </xf>
    <xf numFmtId="41" fontId="7" fillId="0" borderId="16" xfId="1" applyFont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41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16" xfId="0" applyNumberFormat="1" applyFont="1" applyFill="1" applyBorder="1" applyAlignment="1">
      <alignment horizontal="center" vertical="center"/>
    </xf>
    <xf numFmtId="189" fontId="0" fillId="0" borderId="0" xfId="1" applyNumberFormat="1" applyFont="1" applyFill="1">
      <alignment vertical="center"/>
    </xf>
    <xf numFmtId="41" fontId="0" fillId="2" borderId="7" xfId="1" applyNumberFormat="1" applyFont="1" applyFill="1" applyBorder="1" applyAlignment="1">
      <alignment horizontal="center" vertical="center"/>
    </xf>
    <xf numFmtId="178" fontId="11" fillId="2" borderId="7" xfId="1" applyNumberFormat="1" applyFont="1" applyFill="1" applyBorder="1" applyAlignment="1">
      <alignment horizontal="center" vertical="center"/>
    </xf>
    <xf numFmtId="41" fontId="7" fillId="17" borderId="0" xfId="1" applyFont="1" applyFill="1" applyAlignment="1">
      <alignment horizontal="center" vertical="center"/>
    </xf>
    <xf numFmtId="177" fontId="0" fillId="17" borderId="0" xfId="0" applyNumberFormat="1" applyFill="1">
      <alignment vertical="center"/>
    </xf>
    <xf numFmtId="43" fontId="0" fillId="17" borderId="0" xfId="0" applyNumberFormat="1" applyFill="1">
      <alignment vertical="center"/>
    </xf>
    <xf numFmtId="0" fontId="21" fillId="0" borderId="0" xfId="0" applyFont="1">
      <alignment vertical="center"/>
    </xf>
    <xf numFmtId="41" fontId="7" fillId="17" borderId="0" xfId="1" applyFont="1" applyFill="1">
      <alignment vertical="center"/>
    </xf>
    <xf numFmtId="177" fontId="7" fillId="17" borderId="0" xfId="1" applyNumberFormat="1" applyFont="1" applyFill="1">
      <alignment vertical="center"/>
    </xf>
    <xf numFmtId="41" fontId="0" fillId="17" borderId="16" xfId="1" applyFont="1" applyFill="1" applyBorder="1">
      <alignment vertical="center"/>
    </xf>
    <xf numFmtId="9" fontId="22" fillId="17" borderId="0" xfId="0" applyNumberFormat="1" applyFont="1" applyFill="1" applyBorder="1">
      <alignment vertical="center"/>
    </xf>
    <xf numFmtId="176" fontId="0" fillId="17" borderId="7" xfId="0" applyNumberFormat="1" applyFill="1" applyBorder="1">
      <alignment vertical="center"/>
    </xf>
    <xf numFmtId="0" fontId="0" fillId="0" borderId="17" xfId="0" applyBorder="1">
      <alignment vertical="center"/>
    </xf>
    <xf numFmtId="0" fontId="0" fillId="17" borderId="9" xfId="0" applyFill="1" applyBorder="1">
      <alignment vertical="center"/>
    </xf>
    <xf numFmtId="9" fontId="0" fillId="17" borderId="0" xfId="0" applyNumberFormat="1" applyFill="1" applyBorder="1">
      <alignment vertical="center"/>
    </xf>
    <xf numFmtId="0" fontId="0" fillId="18" borderId="0" xfId="0" applyFill="1" applyAlignment="1">
      <alignment horizontal="center" vertical="center"/>
    </xf>
    <xf numFmtId="180" fontId="7" fillId="18" borderId="0" xfId="0" applyNumberFormat="1" applyFont="1" applyFill="1" applyAlignment="1">
      <alignment horizontal="center" vertical="center"/>
    </xf>
    <xf numFmtId="0" fontId="0" fillId="18" borderId="0" xfId="0" applyFill="1" applyBorder="1">
      <alignment vertical="center"/>
    </xf>
    <xf numFmtId="41" fontId="7" fillId="18" borderId="0" xfId="1" applyFont="1" applyFill="1" applyAlignment="1">
      <alignment horizontal="center" vertical="center"/>
    </xf>
    <xf numFmtId="177" fontId="0" fillId="18" borderId="0" xfId="0" applyNumberFormat="1" applyFill="1">
      <alignment vertical="center"/>
    </xf>
    <xf numFmtId="43" fontId="0" fillId="18" borderId="0" xfId="0" applyNumberFormat="1" applyFill="1">
      <alignment vertical="center"/>
    </xf>
    <xf numFmtId="41" fontId="0" fillId="18" borderId="0" xfId="1" applyFont="1" applyFill="1">
      <alignment vertical="center"/>
    </xf>
    <xf numFmtId="41" fontId="0" fillId="18" borderId="0" xfId="1" applyFont="1" applyFill="1" applyBorder="1">
      <alignment vertical="center"/>
    </xf>
    <xf numFmtId="9" fontId="0" fillId="18" borderId="0" xfId="0" applyNumberFormat="1" applyFill="1">
      <alignment vertical="center"/>
    </xf>
    <xf numFmtId="41" fontId="0" fillId="18" borderId="0" xfId="0" applyNumberFormat="1" applyFill="1">
      <alignment vertical="center"/>
    </xf>
    <xf numFmtId="10" fontId="0" fillId="18" borderId="0" xfId="0" applyNumberFormat="1" applyFill="1">
      <alignment vertical="center"/>
    </xf>
    <xf numFmtId="178" fontId="0" fillId="18" borderId="0" xfId="0" applyNumberFormat="1" applyFill="1">
      <alignment vertical="center"/>
    </xf>
    <xf numFmtId="176" fontId="0" fillId="18" borderId="0" xfId="2" applyNumberFormat="1" applyFont="1" applyFill="1">
      <alignment vertical="center"/>
    </xf>
    <xf numFmtId="9" fontId="0" fillId="18" borderId="0" xfId="2" applyFont="1" applyFill="1">
      <alignment vertical="center"/>
    </xf>
    <xf numFmtId="10" fontId="0" fillId="18" borderId="0" xfId="2" applyNumberFormat="1" applyFont="1" applyFill="1">
      <alignment vertical="center"/>
    </xf>
    <xf numFmtId="0" fontId="0" fillId="18" borderId="0" xfId="0" applyFill="1">
      <alignment vertical="center"/>
    </xf>
    <xf numFmtId="189" fontId="0" fillId="18" borderId="0" xfId="1" applyNumberFormat="1" applyFont="1" applyFill="1">
      <alignment vertical="center"/>
    </xf>
    <xf numFmtId="0" fontId="0" fillId="18" borderId="9" xfId="0" applyFill="1" applyBorder="1" applyAlignment="1">
      <alignment horizontal="center" vertical="center"/>
    </xf>
    <xf numFmtId="180" fontId="7" fillId="18" borderId="9" xfId="0" applyNumberFormat="1" applyFont="1" applyFill="1" applyBorder="1" applyAlignment="1">
      <alignment horizontal="center" vertical="center"/>
    </xf>
    <xf numFmtId="177" fontId="0" fillId="18" borderId="9" xfId="0" applyNumberFormat="1" applyFill="1" applyBorder="1">
      <alignment vertical="center"/>
    </xf>
    <xf numFmtId="41" fontId="0" fillId="18" borderId="9" xfId="1" applyFont="1" applyFill="1" applyBorder="1">
      <alignment vertical="center"/>
    </xf>
    <xf numFmtId="9" fontId="0" fillId="18" borderId="9" xfId="0" applyNumberFormat="1" applyFill="1" applyBorder="1">
      <alignment vertical="center"/>
    </xf>
    <xf numFmtId="41" fontId="0" fillId="18" borderId="9" xfId="0" applyNumberFormat="1" applyFill="1" applyBorder="1">
      <alignment vertical="center"/>
    </xf>
    <xf numFmtId="10" fontId="0" fillId="18" borderId="9" xfId="0" applyNumberFormat="1" applyFill="1" applyBorder="1">
      <alignment vertical="center"/>
    </xf>
    <xf numFmtId="178" fontId="0" fillId="18" borderId="9" xfId="0" applyNumberFormat="1" applyFill="1" applyBorder="1">
      <alignment vertical="center"/>
    </xf>
    <xf numFmtId="176" fontId="0" fillId="18" borderId="9" xfId="2" applyNumberFormat="1" applyFont="1" applyFill="1" applyBorder="1">
      <alignment vertical="center"/>
    </xf>
    <xf numFmtId="9" fontId="0" fillId="18" borderId="9" xfId="2" applyFont="1" applyFill="1" applyBorder="1">
      <alignment vertical="center"/>
    </xf>
    <xf numFmtId="10" fontId="0" fillId="18" borderId="9" xfId="2" applyNumberFormat="1" applyFont="1" applyFill="1" applyBorder="1">
      <alignment vertical="center"/>
    </xf>
    <xf numFmtId="0" fontId="0" fillId="18" borderId="9" xfId="0" applyFill="1" applyBorder="1">
      <alignment vertical="center"/>
    </xf>
    <xf numFmtId="189" fontId="0" fillId="18" borderId="9" xfId="1" applyNumberFormat="1" applyFont="1" applyFill="1" applyBorder="1">
      <alignment vertical="center"/>
    </xf>
    <xf numFmtId="0" fontId="23" fillId="19" borderId="0" xfId="0" applyFont="1" applyFill="1">
      <alignment vertical="center"/>
    </xf>
    <xf numFmtId="177" fontId="0" fillId="2" borderId="0" xfId="0" applyNumberFormat="1" applyFill="1">
      <alignment vertical="center"/>
    </xf>
    <xf numFmtId="177" fontId="0" fillId="2" borderId="9" xfId="0" applyNumberFormat="1" applyFill="1" applyBorder="1">
      <alignment vertical="center"/>
    </xf>
    <xf numFmtId="0" fontId="6" fillId="17" borderId="0" xfId="0" applyFont="1" applyFill="1" applyBorder="1">
      <alignment vertical="center"/>
    </xf>
    <xf numFmtId="41" fontId="8" fillId="17" borderId="0" xfId="1" applyFont="1" applyFill="1" applyBorder="1">
      <alignment vertical="center"/>
    </xf>
    <xf numFmtId="0" fontId="8" fillId="17" borderId="0" xfId="0" applyFont="1" applyFill="1" applyBorder="1">
      <alignment vertical="center"/>
    </xf>
    <xf numFmtId="43" fontId="8" fillId="17" borderId="0" xfId="0" applyNumberFormat="1" applyFont="1" applyFill="1" applyBorder="1">
      <alignment vertical="center"/>
    </xf>
    <xf numFmtId="9" fontId="8" fillId="17" borderId="0" xfId="2" applyFont="1" applyFill="1" applyBorder="1">
      <alignment vertical="center"/>
    </xf>
    <xf numFmtId="0" fontId="24" fillId="0" borderId="0" xfId="0" applyFont="1" applyBorder="1">
      <alignment vertical="center"/>
    </xf>
    <xf numFmtId="0" fontId="12" fillId="17" borderId="0" xfId="0" applyFont="1" applyFill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28" fillId="0" borderId="19" xfId="0" applyFont="1" applyBorder="1" applyAlignment="1">
      <alignment horizontal="center" vertical="center" wrapText="1"/>
    </xf>
    <xf numFmtId="41" fontId="30" fillId="0" borderId="19" xfId="1" applyFont="1" applyBorder="1" applyAlignment="1">
      <alignment horizontal="right" vertical="center" wrapText="1"/>
    </xf>
    <xf numFmtId="0" fontId="32" fillId="0" borderId="19" xfId="0" applyFont="1" applyBorder="1" applyAlignment="1">
      <alignment horizontal="center" vertical="center" wrapText="1"/>
    </xf>
    <xf numFmtId="41" fontId="30" fillId="0" borderId="20" xfId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center" vertical="center" wrapText="1"/>
    </xf>
    <xf numFmtId="41" fontId="33" fillId="0" borderId="21" xfId="1" applyFont="1" applyBorder="1" applyAlignment="1">
      <alignment horizontal="right" vertical="center" wrapText="1"/>
    </xf>
    <xf numFmtId="0" fontId="28" fillId="0" borderId="23" xfId="0" applyFont="1" applyBorder="1" applyAlignment="1">
      <alignment horizontal="center" vertical="center" wrapText="1"/>
    </xf>
    <xf numFmtId="41" fontId="30" fillId="0" borderId="23" xfId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0" fontId="34" fillId="2" borderId="5" xfId="0" applyFont="1" applyFill="1" applyBorder="1">
      <alignment vertical="center"/>
    </xf>
    <xf numFmtId="0" fontId="34" fillId="2" borderId="0" xfId="0" applyFont="1" applyFill="1">
      <alignment vertical="center"/>
    </xf>
    <xf numFmtId="0" fontId="34" fillId="2" borderId="0" xfId="0" applyFont="1" applyFill="1" applyAlignment="1">
      <alignment horizontal="right" vertical="center"/>
    </xf>
    <xf numFmtId="0" fontId="12" fillId="0" borderId="0" xfId="0" applyFont="1" applyBorder="1">
      <alignment vertical="center"/>
    </xf>
    <xf numFmtId="0" fontId="22" fillId="2" borderId="0" xfId="0" applyFont="1" applyFill="1" applyAlignment="1">
      <alignment horizontal="center" vertical="center"/>
    </xf>
    <xf numFmtId="180" fontId="22" fillId="2" borderId="0" xfId="0" applyNumberFormat="1" applyFont="1" applyFill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41" fontId="22" fillId="0" borderId="7" xfId="1" applyNumberFormat="1" applyFont="1" applyBorder="1" applyAlignment="1">
      <alignment horizontal="center" vertical="center"/>
    </xf>
    <xf numFmtId="178" fontId="35" fillId="0" borderId="7" xfId="1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80" fontId="7" fillId="17" borderId="7" xfId="0" applyNumberFormat="1" applyFont="1" applyFill="1" applyBorder="1">
      <alignment vertical="center"/>
    </xf>
    <xf numFmtId="180" fontId="7" fillId="17" borderId="0" xfId="0" applyNumberFormat="1" applyFont="1" applyFill="1" applyAlignment="1">
      <alignment horizontal="center" vertical="center"/>
    </xf>
    <xf numFmtId="41" fontId="18" fillId="17" borderId="7" xfId="1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4" fillId="2" borderId="28" xfId="0" applyFont="1" applyFill="1" applyBorder="1">
      <alignment vertical="center"/>
    </xf>
    <xf numFmtId="0" fontId="34" fillId="2" borderId="29" xfId="0" applyFont="1" applyFill="1" applyBorder="1">
      <alignment vertical="center"/>
    </xf>
    <xf numFmtId="0" fontId="34" fillId="2" borderId="29" xfId="0" applyFont="1" applyFill="1" applyBorder="1" applyAlignment="1">
      <alignment horizontal="right" vertical="center"/>
    </xf>
    <xf numFmtId="0" fontId="34" fillId="2" borderId="30" xfId="0" applyFont="1" applyFill="1" applyBorder="1">
      <alignment vertical="center"/>
    </xf>
    <xf numFmtId="0" fontId="24" fillId="17" borderId="0" xfId="0" applyFont="1" applyFill="1" applyBorder="1">
      <alignment vertical="center"/>
    </xf>
    <xf numFmtId="41" fontId="0" fillId="17" borderId="5" xfId="1" applyFont="1" applyFill="1" applyBorder="1">
      <alignment vertical="center"/>
    </xf>
    <xf numFmtId="41" fontId="0" fillId="17" borderId="5" xfId="1" applyFont="1" applyFill="1" applyBorder="1" applyAlignment="1">
      <alignment horizontal="center" vertical="center"/>
    </xf>
    <xf numFmtId="190" fontId="7" fillId="17" borderId="0" xfId="0" applyNumberFormat="1" applyFont="1" applyFill="1" applyAlignment="1">
      <alignment horizontal="center" vertical="center"/>
    </xf>
    <xf numFmtId="180" fontId="7" fillId="17" borderId="16" xfId="0" applyNumberFormat="1" applyFont="1" applyFill="1" applyBorder="1" applyAlignment="1">
      <alignment horizontal="center" vertical="center"/>
    </xf>
    <xf numFmtId="180" fontId="22" fillId="17" borderId="0" xfId="0" applyNumberFormat="1" applyFont="1" applyFill="1" applyAlignment="1">
      <alignment horizontal="center" vertical="center"/>
    </xf>
    <xf numFmtId="180" fontId="7" fillId="17" borderId="0" xfId="0" applyNumberFormat="1" applyFont="1" applyFill="1" applyBorder="1" applyAlignment="1">
      <alignment horizontal="center" vertical="center"/>
    </xf>
    <xf numFmtId="43" fontId="0" fillId="17" borderId="0" xfId="1" applyNumberFormat="1" applyFont="1" applyFill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80" fontId="7" fillId="2" borderId="0" xfId="0" applyNumberFormat="1" applyFont="1" applyFill="1" applyBorder="1" applyAlignment="1">
      <alignment horizontal="center" vertical="center"/>
    </xf>
    <xf numFmtId="9" fontId="0" fillId="17" borderId="0" xfId="0" applyNumberFormat="1" applyFill="1">
      <alignment vertical="center"/>
    </xf>
    <xf numFmtId="41" fontId="0" fillId="17" borderId="0" xfId="0" applyNumberFormat="1" applyFill="1">
      <alignment vertical="center"/>
    </xf>
    <xf numFmtId="10" fontId="0" fillId="17" borderId="0" xfId="0" applyNumberFormat="1" applyFill="1">
      <alignment vertical="center"/>
    </xf>
    <xf numFmtId="178" fontId="0" fillId="17" borderId="0" xfId="0" applyNumberFormat="1" applyFill="1">
      <alignment vertical="center"/>
    </xf>
    <xf numFmtId="176" fontId="0" fillId="17" borderId="0" xfId="2" applyNumberFormat="1" applyFont="1" applyFill="1">
      <alignment vertical="center"/>
    </xf>
    <xf numFmtId="9" fontId="0" fillId="17" borderId="0" xfId="2" applyFont="1" applyFill="1">
      <alignment vertical="center"/>
    </xf>
    <xf numFmtId="10" fontId="0" fillId="17" borderId="0" xfId="2" applyNumberFormat="1" applyFont="1" applyFill="1">
      <alignment vertical="center"/>
    </xf>
    <xf numFmtId="0" fontId="0" fillId="17" borderId="0" xfId="0" applyFill="1">
      <alignment vertical="center"/>
    </xf>
    <xf numFmtId="189" fontId="0" fillId="17" borderId="0" xfId="1" applyNumberFormat="1" applyFont="1" applyFill="1">
      <alignment vertical="center"/>
    </xf>
    <xf numFmtId="190" fontId="0" fillId="2" borderId="7" xfId="1" applyNumberFormat="1" applyFont="1" applyFill="1" applyBorder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41" fontId="30" fillId="0" borderId="19" xfId="1" applyFont="1" applyFill="1" applyBorder="1" applyAlignment="1">
      <alignment horizontal="right" vertical="center" wrapText="1"/>
    </xf>
    <xf numFmtId="0" fontId="22" fillId="0" borderId="19" xfId="0" applyFont="1" applyFill="1" applyBorder="1" applyAlignment="1">
      <alignment horizontal="center" vertical="center" wrapText="1"/>
    </xf>
    <xf numFmtId="41" fontId="30" fillId="0" borderId="20" xfId="1" applyFont="1" applyFill="1" applyBorder="1" applyAlignment="1">
      <alignment horizontal="right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41" fontId="33" fillId="0" borderId="21" xfId="1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center" vertical="center" wrapText="1"/>
    </xf>
    <xf numFmtId="41" fontId="30" fillId="0" borderId="22" xfId="1" applyFont="1" applyFill="1" applyBorder="1" applyAlignment="1">
      <alignment horizontal="righ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41" fontId="36" fillId="17" borderId="0" xfId="1" applyFont="1" applyFill="1" applyBorder="1">
      <alignment vertical="center"/>
    </xf>
    <xf numFmtId="41" fontId="0" fillId="17" borderId="7" xfId="1" applyFont="1" applyFill="1" applyBorder="1">
      <alignment vertical="center"/>
    </xf>
    <xf numFmtId="9" fontId="12" fillId="0" borderId="0" xfId="2" applyFont="1" applyAlignment="1">
      <alignment horizontal="right" vertical="center"/>
    </xf>
    <xf numFmtId="0" fontId="32" fillId="0" borderId="0" xfId="0" applyFont="1">
      <alignment vertical="center"/>
    </xf>
    <xf numFmtId="185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0" fontId="37" fillId="0" borderId="0" xfId="2" applyNumberFormat="1" applyFont="1">
      <alignment vertical="center"/>
    </xf>
    <xf numFmtId="0" fontId="39" fillId="0" borderId="0" xfId="0" applyFont="1">
      <alignment vertical="center"/>
    </xf>
    <xf numFmtId="0" fontId="12" fillId="17" borderId="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center" vertical="center"/>
    </xf>
    <xf numFmtId="9" fontId="12" fillId="0" borderId="0" xfId="1" applyNumberFormat="1" applyFont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180" fontId="0" fillId="0" borderId="0" xfId="0" applyNumberFormat="1">
      <alignment vertical="center"/>
    </xf>
    <xf numFmtId="193" fontId="0" fillId="0" borderId="0" xfId="0" applyNumberFormat="1" applyAlignment="1">
      <alignment horizontal="right" vertical="center"/>
    </xf>
    <xf numFmtId="189" fontId="0" fillId="0" borderId="0" xfId="1" applyNumberFormat="1" applyFont="1" applyAlignment="1">
      <alignment horizontal="right" vertical="center"/>
    </xf>
    <xf numFmtId="41" fontId="0" fillId="17" borderId="0" xfId="0" applyNumberFormat="1" applyFill="1" applyBorder="1">
      <alignment vertical="center"/>
    </xf>
    <xf numFmtId="41" fontId="0" fillId="13" borderId="0" xfId="1" applyFont="1" applyFill="1" applyBorder="1">
      <alignment vertical="center"/>
    </xf>
    <xf numFmtId="0" fontId="0" fillId="13" borderId="0" xfId="0" applyFill="1" applyBorder="1" applyAlignment="1">
      <alignment horizontal="left" vertical="center"/>
    </xf>
    <xf numFmtId="41" fontId="12" fillId="0" borderId="0" xfId="0" applyNumberFormat="1" applyFont="1">
      <alignment vertical="center"/>
    </xf>
    <xf numFmtId="41" fontId="12" fillId="17" borderId="0" xfId="0" applyNumberFormat="1" applyFont="1" applyFill="1" applyBorder="1">
      <alignment vertical="center"/>
    </xf>
    <xf numFmtId="41" fontId="32" fillId="0" borderId="0" xfId="0" applyNumberFormat="1" applyFont="1">
      <alignment vertical="center"/>
    </xf>
    <xf numFmtId="180" fontId="7" fillId="17" borderId="0" xfId="0" applyNumberFormat="1" applyFont="1" applyFill="1" applyBorder="1">
      <alignment vertical="center"/>
    </xf>
    <xf numFmtId="0" fontId="36" fillId="0" borderId="0" xfId="0" applyFont="1" applyAlignment="1">
      <alignment horizontal="left" vertical="center"/>
    </xf>
    <xf numFmtId="9" fontId="13" fillId="0" borderId="0" xfId="2" applyFont="1" applyAlignment="1">
      <alignment horizontal="right" vertical="center"/>
    </xf>
    <xf numFmtId="185" fontId="40" fillId="0" borderId="0" xfId="0" applyNumberFormat="1" applyFont="1" applyAlignment="1">
      <alignment horizontal="center" vertical="center" wrapText="1"/>
    </xf>
    <xf numFmtId="0" fontId="13" fillId="0" borderId="5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26" fillId="20" borderId="33" xfId="0" applyFont="1" applyFill="1" applyBorder="1" applyAlignment="1">
      <alignment horizontal="center" vertical="center" wrapText="1"/>
    </xf>
    <xf numFmtId="0" fontId="26" fillId="20" borderId="34" xfId="0" applyFont="1" applyFill="1" applyBorder="1" applyAlignment="1">
      <alignment horizontal="center" vertical="center" wrapText="1"/>
    </xf>
    <xf numFmtId="0" fontId="26" fillId="20" borderId="35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6" fillId="2" borderId="45" xfId="0" applyFont="1" applyFill="1" applyBorder="1" applyAlignment="1">
      <alignment horizontal="center" vertical="center" wrapText="1"/>
    </xf>
    <xf numFmtId="41" fontId="33" fillId="2" borderId="46" xfId="1" applyFont="1" applyFill="1" applyBorder="1" applyAlignment="1">
      <alignment horizontal="right" vertical="center" wrapText="1"/>
    </xf>
    <xf numFmtId="0" fontId="28" fillId="0" borderId="47" xfId="0" applyFont="1" applyBorder="1" applyAlignment="1">
      <alignment horizontal="left" vertical="center" wrapText="1"/>
    </xf>
    <xf numFmtId="177" fontId="13" fillId="17" borderId="0" xfId="1" applyNumberFormat="1" applyFont="1" applyFill="1" applyBorder="1" applyAlignment="1">
      <alignment horizontal="left" vertical="center"/>
    </xf>
    <xf numFmtId="187" fontId="0" fillId="17" borderId="24" xfId="0" applyNumberFormat="1" applyFill="1" applyBorder="1" applyAlignment="1">
      <alignment horizontal="right" vertical="center"/>
    </xf>
    <xf numFmtId="176" fontId="0" fillId="17" borderId="9" xfId="0" applyNumberFormat="1" applyFill="1" applyBorder="1">
      <alignment vertical="center"/>
    </xf>
    <xf numFmtId="0" fontId="36" fillId="17" borderId="9" xfId="0" applyFont="1" applyFill="1" applyBorder="1" applyAlignment="1">
      <alignment horizontal="left" vertical="center" wrapText="1"/>
    </xf>
    <xf numFmtId="188" fontId="0" fillId="17" borderId="9" xfId="0" applyNumberFormat="1" applyFill="1" applyBorder="1" applyAlignment="1">
      <alignment horizontal="left" vertical="center"/>
    </xf>
    <xf numFmtId="177" fontId="0" fillId="17" borderId="9" xfId="0" applyNumberFormat="1" applyFill="1" applyBorder="1">
      <alignment vertical="center"/>
    </xf>
    <xf numFmtId="187" fontId="0" fillId="17" borderId="18" xfId="0" applyNumberFormat="1" applyFill="1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0" fontId="43" fillId="0" borderId="5" xfId="0" applyFont="1" applyBorder="1" applyAlignment="1">
      <alignment horizontal="right" vertical="center"/>
    </xf>
    <xf numFmtId="184" fontId="42" fillId="0" borderId="0" xfId="0" applyNumberFormat="1" applyFont="1" applyAlignment="1">
      <alignment horizontal="right" vertical="center"/>
    </xf>
    <xf numFmtId="184" fontId="42" fillId="0" borderId="5" xfId="0" applyNumberFormat="1" applyFont="1" applyBorder="1" applyAlignment="1">
      <alignment horizontal="right" vertical="center"/>
    </xf>
    <xf numFmtId="189" fontId="0" fillId="17" borderId="0" xfId="1" applyNumberFormat="1" applyFont="1" applyFill="1" applyBorder="1">
      <alignment vertical="center"/>
    </xf>
    <xf numFmtId="41" fontId="0" fillId="17" borderId="7" xfId="1" applyNumberFormat="1" applyFont="1" applyFill="1" applyBorder="1">
      <alignment vertical="center"/>
    </xf>
    <xf numFmtId="41" fontId="0" fillId="14" borderId="0" xfId="1" applyFont="1" applyFill="1" applyAlignment="1">
      <alignment vertical="center"/>
    </xf>
    <xf numFmtId="9" fontId="0" fillId="14" borderId="0" xfId="1" applyNumberFormat="1" applyFont="1" applyFill="1" applyAlignment="1">
      <alignment vertical="center"/>
    </xf>
    <xf numFmtId="0" fontId="45" fillId="0" borderId="7" xfId="0" applyFont="1" applyBorder="1" applyAlignment="1">
      <alignment horizontal="right" vertical="center"/>
    </xf>
    <xf numFmtId="41" fontId="46" fillId="0" borderId="20" xfId="1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46" fillId="0" borderId="0" xfId="0" applyFont="1">
      <alignment vertical="center"/>
    </xf>
    <xf numFmtId="0" fontId="50" fillId="0" borderId="0" xfId="0" applyFont="1">
      <alignment vertical="center"/>
    </xf>
    <xf numFmtId="176" fontId="50" fillId="0" borderId="0" xfId="0" applyNumberFormat="1" applyFont="1">
      <alignment vertical="center"/>
    </xf>
    <xf numFmtId="9" fontId="50" fillId="0" borderId="0" xfId="0" applyNumberFormat="1" applyFont="1">
      <alignment vertical="center"/>
    </xf>
    <xf numFmtId="176" fontId="44" fillId="0" borderId="0" xfId="0" applyNumberFormat="1" applyFont="1">
      <alignment vertical="center"/>
    </xf>
    <xf numFmtId="41" fontId="44" fillId="0" borderId="0" xfId="1" applyFont="1">
      <alignment vertical="center"/>
    </xf>
    <xf numFmtId="192" fontId="44" fillId="0" borderId="0" xfId="0" applyNumberFormat="1" applyFont="1" applyBorder="1" applyAlignment="1">
      <alignment horizontal="right" vertical="center"/>
    </xf>
    <xf numFmtId="41" fontId="0" fillId="2" borderId="0" xfId="1" applyFont="1" applyFill="1">
      <alignment vertical="center"/>
    </xf>
    <xf numFmtId="177" fontId="0" fillId="2" borderId="0" xfId="1" applyNumberFormat="1" applyFont="1" applyFill="1">
      <alignment vertical="center"/>
    </xf>
    <xf numFmtId="0" fontId="0" fillId="2" borderId="0" xfId="0" applyFill="1">
      <alignment vertical="center"/>
    </xf>
    <xf numFmtId="41" fontId="32" fillId="0" borderId="0" xfId="1" applyFont="1">
      <alignment vertical="center"/>
    </xf>
    <xf numFmtId="0" fontId="3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10" fontId="51" fillId="0" borderId="0" xfId="2" applyNumberFormat="1" applyFont="1" applyAlignment="1">
      <alignment vertical="center"/>
    </xf>
    <xf numFmtId="41" fontId="50" fillId="2" borderId="0" xfId="1" applyFont="1" applyFill="1" applyAlignment="1">
      <alignment horizontal="center" vertical="center"/>
    </xf>
    <xf numFmtId="0" fontId="22" fillId="5" borderId="0" xfId="0" applyFont="1" applyFill="1">
      <alignment vertical="center"/>
    </xf>
    <xf numFmtId="0" fontId="22" fillId="5" borderId="0" xfId="0" applyFont="1" applyFill="1" applyAlignment="1">
      <alignment horizontal="center" vertical="center"/>
    </xf>
    <xf numFmtId="41" fontId="22" fillId="0" borderId="0" xfId="1" applyFont="1">
      <alignment vertical="center"/>
    </xf>
    <xf numFmtId="41" fontId="22" fillId="0" borderId="0" xfId="1" applyFont="1" applyAlignment="1">
      <alignment horizontal="center" vertical="center"/>
    </xf>
    <xf numFmtId="0" fontId="22" fillId="6" borderId="0" xfId="0" applyFont="1" applyFill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>
      <alignment vertical="center"/>
    </xf>
    <xf numFmtId="0" fontId="22" fillId="7" borderId="0" xfId="0" applyFont="1" applyFill="1" applyAlignment="1">
      <alignment horizontal="center" vertical="center"/>
    </xf>
    <xf numFmtId="41" fontId="22" fillId="14" borderId="0" xfId="1" applyFont="1" applyFill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177" fontId="22" fillId="0" borderId="0" xfId="1" applyNumberFormat="1" applyFont="1">
      <alignment vertical="center"/>
    </xf>
    <xf numFmtId="0" fontId="22" fillId="0" borderId="10" xfId="0" applyFont="1" applyFill="1" applyBorder="1">
      <alignment vertical="center"/>
    </xf>
    <xf numFmtId="0" fontId="22" fillId="0" borderId="8" xfId="0" applyFont="1" applyFill="1" applyBorder="1">
      <alignment vertical="center"/>
    </xf>
    <xf numFmtId="41" fontId="22" fillId="0" borderId="8" xfId="0" applyNumberFormat="1" applyFont="1" applyFill="1" applyBorder="1" applyAlignment="1">
      <alignment horizontal="center" vertical="center"/>
    </xf>
    <xf numFmtId="0" fontId="22" fillId="15" borderId="0" xfId="0" applyFont="1" applyFill="1">
      <alignment vertical="center"/>
    </xf>
    <xf numFmtId="0" fontId="22" fillId="15" borderId="0" xfId="0" applyFont="1" applyFill="1" applyAlignment="1">
      <alignment horizontal="center" vertical="center"/>
    </xf>
    <xf numFmtId="0" fontId="22" fillId="8" borderId="0" xfId="0" applyFont="1" applyFill="1">
      <alignment vertical="center"/>
    </xf>
    <xf numFmtId="177" fontId="22" fillId="8" borderId="0" xfId="0" applyNumberFormat="1" applyFont="1" applyFill="1" applyAlignment="1">
      <alignment horizontal="center" vertical="center"/>
    </xf>
    <xf numFmtId="41" fontId="22" fillId="8" borderId="0" xfId="1" applyFont="1" applyFill="1" applyAlignment="1">
      <alignment horizontal="center" vertical="center"/>
    </xf>
    <xf numFmtId="41" fontId="22" fillId="0" borderId="0" xfId="1" applyFont="1" applyFill="1" applyAlignment="1">
      <alignment horizontal="center" vertical="center"/>
    </xf>
    <xf numFmtId="0" fontId="22" fillId="16" borderId="0" xfId="0" applyFont="1" applyFill="1">
      <alignment vertical="center"/>
    </xf>
    <xf numFmtId="0" fontId="22" fillId="16" borderId="0" xfId="0" applyFont="1" applyFill="1" applyAlignment="1">
      <alignment horizontal="center" vertical="center"/>
    </xf>
    <xf numFmtId="177" fontId="22" fillId="7" borderId="0" xfId="0" applyNumberFormat="1" applyFont="1" applyFill="1" applyAlignment="1">
      <alignment horizontal="center" vertical="center"/>
    </xf>
    <xf numFmtId="177" fontId="22" fillId="7" borderId="0" xfId="0" applyNumberFormat="1" applyFont="1" applyFill="1">
      <alignment vertical="center"/>
    </xf>
    <xf numFmtId="0" fontId="22" fillId="13" borderId="0" xfId="0" applyFont="1" applyFill="1">
      <alignment vertical="center"/>
    </xf>
    <xf numFmtId="0" fontId="22" fillId="13" borderId="0" xfId="0" applyFont="1" applyFill="1" applyAlignment="1">
      <alignment horizontal="center" vertical="center"/>
    </xf>
    <xf numFmtId="0" fontId="22" fillId="12" borderId="0" xfId="0" applyFont="1" applyFill="1">
      <alignment vertical="center"/>
    </xf>
    <xf numFmtId="0" fontId="22" fillId="12" borderId="0" xfId="0" applyFont="1" applyFill="1" applyAlignment="1">
      <alignment horizontal="center" vertical="center"/>
    </xf>
    <xf numFmtId="41" fontId="22" fillId="14" borderId="0" xfId="1" applyFont="1" applyFill="1">
      <alignment vertical="center"/>
    </xf>
    <xf numFmtId="0" fontId="22" fillId="9" borderId="0" xfId="0" applyFont="1" applyFill="1">
      <alignment vertical="center"/>
    </xf>
    <xf numFmtId="0" fontId="22" fillId="3" borderId="0" xfId="0" applyFont="1" applyFill="1">
      <alignment vertical="center"/>
    </xf>
    <xf numFmtId="0" fontId="52" fillId="0" borderId="0" xfId="0" applyFont="1">
      <alignment vertical="center"/>
    </xf>
    <xf numFmtId="41" fontId="52" fillId="0" borderId="0" xfId="1" applyFont="1">
      <alignment vertical="center"/>
    </xf>
    <xf numFmtId="41" fontId="52" fillId="0" borderId="0" xfId="1" applyFont="1" applyAlignment="1">
      <alignment horizontal="center" vertical="center"/>
    </xf>
    <xf numFmtId="0" fontId="52" fillId="7" borderId="0" xfId="0" applyFont="1" applyFill="1">
      <alignment vertical="center"/>
    </xf>
    <xf numFmtId="0" fontId="52" fillId="0" borderId="0" xfId="0" applyFont="1" applyAlignment="1">
      <alignment horizontal="center" vertical="center"/>
    </xf>
    <xf numFmtId="0" fontId="52" fillId="3" borderId="0" xfId="0" applyFont="1" applyFill="1">
      <alignment vertical="center"/>
    </xf>
    <xf numFmtId="41" fontId="52" fillId="3" borderId="0" xfId="1" applyFont="1" applyFill="1">
      <alignment vertical="center"/>
    </xf>
    <xf numFmtId="0" fontId="52" fillId="8" borderId="0" xfId="0" applyFont="1" applyFill="1">
      <alignment vertical="center"/>
    </xf>
    <xf numFmtId="0" fontId="52" fillId="0" borderId="0" xfId="0" applyFont="1" applyFill="1">
      <alignment vertical="center"/>
    </xf>
    <xf numFmtId="41" fontId="52" fillId="0" borderId="0" xfId="1" applyFont="1" applyFill="1" applyAlignment="1">
      <alignment horizontal="center" vertical="center"/>
    </xf>
    <xf numFmtId="177" fontId="52" fillId="7" borderId="0" xfId="0" applyNumberFormat="1" applyFont="1" applyFill="1" applyAlignment="1">
      <alignment horizontal="center" vertical="center"/>
    </xf>
    <xf numFmtId="177" fontId="52" fillId="0" borderId="0" xfId="0" applyNumberFormat="1" applyFont="1" applyFill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177" fontId="52" fillId="3" borderId="0" xfId="0" applyNumberFormat="1" applyFont="1" applyFill="1" applyAlignment="1">
      <alignment horizontal="center" vertical="center"/>
    </xf>
    <xf numFmtId="41" fontId="22" fillId="3" borderId="0" xfId="1" applyFont="1" applyFill="1">
      <alignment vertical="center"/>
    </xf>
    <xf numFmtId="0" fontId="33" fillId="21" borderId="48" xfId="0" applyFont="1" applyFill="1" applyBorder="1" applyAlignment="1">
      <alignment horizontal="center" vertical="center" wrapText="1"/>
    </xf>
    <xf numFmtId="0" fontId="33" fillId="21" borderId="49" xfId="0" applyFont="1" applyFill="1" applyBorder="1" applyAlignment="1">
      <alignment horizontal="center" vertical="center" wrapText="1"/>
    </xf>
    <xf numFmtId="0" fontId="33" fillId="21" borderId="50" xfId="0" applyFont="1" applyFill="1" applyBorder="1" applyAlignment="1">
      <alignment horizontal="center" vertical="center" wrapText="1"/>
    </xf>
    <xf numFmtId="0" fontId="33" fillId="21" borderId="51" xfId="0" applyFont="1" applyFill="1" applyBorder="1" applyAlignment="1">
      <alignment horizontal="center" vertical="center" wrapText="1"/>
    </xf>
    <xf numFmtId="41" fontId="53" fillId="21" borderId="52" xfId="0" applyNumberFormat="1" applyFont="1" applyFill="1" applyBorder="1">
      <alignment vertical="center"/>
    </xf>
    <xf numFmtId="0" fontId="33" fillId="21" borderId="7" xfId="0" applyFont="1" applyFill="1" applyBorder="1" applyAlignment="1">
      <alignment horizontal="center" vertical="center" wrapText="1"/>
    </xf>
    <xf numFmtId="41" fontId="53" fillId="21" borderId="54" xfId="0" applyNumberFormat="1" applyFont="1" applyFill="1" applyBorder="1">
      <alignment vertical="center"/>
    </xf>
    <xf numFmtId="41" fontId="53" fillId="21" borderId="58" xfId="0" applyNumberFormat="1" applyFont="1" applyFill="1" applyBorder="1">
      <alignment vertical="center"/>
    </xf>
    <xf numFmtId="41" fontId="55" fillId="0" borderId="0" xfId="1" applyFo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57" fillId="0" borderId="0" xfId="0" applyFont="1">
      <alignment vertical="center"/>
    </xf>
    <xf numFmtId="0" fontId="24" fillId="17" borderId="0" xfId="0" applyFont="1" applyFill="1">
      <alignment vertical="center"/>
    </xf>
    <xf numFmtId="0" fontId="58" fillId="17" borderId="0" xfId="0" applyFont="1" applyFill="1" applyBorder="1">
      <alignment vertical="center"/>
    </xf>
    <xf numFmtId="190" fontId="24" fillId="0" borderId="7" xfId="0" applyNumberFormat="1" applyFont="1" applyBorder="1">
      <alignment vertical="center"/>
    </xf>
    <xf numFmtId="9" fontId="24" fillId="0" borderId="7" xfId="2" applyFont="1" applyBorder="1">
      <alignment vertical="center"/>
    </xf>
    <xf numFmtId="0" fontId="24" fillId="0" borderId="7" xfId="0" applyFont="1" applyBorder="1">
      <alignment vertical="center"/>
    </xf>
    <xf numFmtId="41" fontId="24" fillId="0" borderId="0" xfId="1" applyFont="1">
      <alignment vertical="center"/>
    </xf>
    <xf numFmtId="41" fontId="24" fillId="17" borderId="0" xfId="1" applyFont="1" applyFill="1">
      <alignment vertical="center"/>
    </xf>
    <xf numFmtId="0" fontId="24" fillId="0" borderId="7" xfId="0" applyFont="1" applyBorder="1" applyAlignment="1">
      <alignment horizontal="center" vertical="center"/>
    </xf>
    <xf numFmtId="0" fontId="59" fillId="17" borderId="0" xfId="0" applyFont="1" applyFill="1" applyBorder="1" applyAlignment="1">
      <alignment horizontal="left" vertical="center"/>
    </xf>
    <xf numFmtId="0" fontId="0" fillId="2" borderId="0" xfId="0" quotePrefix="1" applyFill="1" applyAlignment="1">
      <alignment horizontal="left" vertical="center"/>
    </xf>
    <xf numFmtId="0" fontId="34" fillId="2" borderId="25" xfId="0" applyFont="1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vertical="center" wrapText="1" shrinkToFit="1"/>
    </xf>
    <xf numFmtId="0" fontId="32" fillId="0" borderId="60" xfId="0" applyFont="1" applyBorder="1" applyAlignment="1">
      <alignment vertical="center" wrapText="1" shrinkToFit="1"/>
    </xf>
    <xf numFmtId="0" fontId="32" fillId="0" borderId="61" xfId="0" applyFont="1" applyBorder="1" applyAlignment="1">
      <alignment vertical="center" wrapText="1" shrinkToFi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20" borderId="32" xfId="0" applyFont="1" applyFill="1" applyBorder="1" applyAlignment="1">
      <alignment horizontal="center" vertical="center" wrapText="1"/>
    </xf>
    <xf numFmtId="0" fontId="26" fillId="20" borderId="33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54" fillId="21" borderId="48" xfId="0" applyFont="1" applyFill="1" applyBorder="1" applyAlignment="1">
      <alignment horizontal="center" vertical="center" wrapText="1"/>
    </xf>
    <xf numFmtId="0" fontId="54" fillId="21" borderId="55" xfId="0" applyFont="1" applyFill="1" applyBorder="1" applyAlignment="1">
      <alignment horizontal="center" vertical="center" wrapText="1"/>
    </xf>
    <xf numFmtId="0" fontId="54" fillId="21" borderId="56" xfId="0" applyFont="1" applyFill="1" applyBorder="1" applyAlignment="1">
      <alignment horizontal="center" vertical="center" wrapText="1"/>
    </xf>
    <xf numFmtId="0" fontId="54" fillId="21" borderId="57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54" fillId="21" borderId="53" xfId="0" applyFont="1" applyFill="1" applyBorder="1" applyAlignment="1">
      <alignment horizontal="center" vertical="center" wrapText="1"/>
    </xf>
  </cellXfs>
  <cellStyles count="17">
    <cellStyle name="백분율" xfId="2" builtinId="5"/>
    <cellStyle name="백분율 2" xfId="6"/>
    <cellStyle name="백분율 2 2" xfId="13"/>
    <cellStyle name="쉼표 [0]" xfId="1" builtinId="6"/>
    <cellStyle name="쉼표 [0] 2" xfId="8"/>
    <cellStyle name="쉼표 [0] 2 2" xfId="4"/>
    <cellStyle name="쉼표 [0] 2 3" xfId="14"/>
    <cellStyle name="쉼표 [0] 2 3 2" xfId="5"/>
    <cellStyle name="쉼표 [0] 7" xfId="16"/>
    <cellStyle name="표준" xfId="0" builtinId="0"/>
    <cellStyle name="표준 2" xfId="7"/>
    <cellStyle name="표준 2 2" xfId="10"/>
    <cellStyle name="표준 2 3" xfId="15"/>
    <cellStyle name="표준 3" xfId="9"/>
    <cellStyle name="표준 3 2" xfId="11"/>
    <cellStyle name="표준 4" xfId="3"/>
    <cellStyle name="하이퍼링크 2" xfId="12"/>
  </cellStyles>
  <dxfs count="0"/>
  <tableStyles count="0" defaultTableStyle="TableStyleMedium2" defaultPivotStyle="PivotStyleLight16"/>
  <colors>
    <mruColors>
      <color rgb="FF0E03ED"/>
      <color rgb="FFFF9999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showGridLines="0" zoomScaleNormal="100" workbookViewId="0">
      <selection activeCell="C26" sqref="C26:C27"/>
    </sheetView>
  </sheetViews>
  <sheetFormatPr defaultColWidth="9" defaultRowHeight="16.5"/>
  <cols>
    <col min="1" max="1" width="2.875" style="7" customWidth="1"/>
    <col min="2" max="2" width="11.125" style="7" customWidth="1"/>
    <col min="3" max="3" width="11.625" style="7" customWidth="1"/>
    <col min="4" max="4" width="12.75" style="63" customWidth="1"/>
    <col min="5" max="5" width="11.875" style="63" customWidth="1"/>
    <col min="6" max="6" width="3.375" style="7" customWidth="1"/>
    <col min="7" max="7" width="3.75" style="7" customWidth="1"/>
    <col min="8" max="8" width="11.625" style="7" customWidth="1"/>
    <col min="9" max="9" width="11.875" style="7" bestFit="1" customWidth="1"/>
    <col min="10" max="10" width="9.75" style="7" bestFit="1" customWidth="1"/>
    <col min="11" max="11" width="9" style="7"/>
    <col min="12" max="12" width="3.125" style="7" customWidth="1"/>
    <col min="13" max="13" width="3.625" style="7" customWidth="1"/>
    <col min="14" max="14" width="7.75" style="7" customWidth="1"/>
    <col min="15" max="15" width="12.875" style="7" customWidth="1"/>
    <col min="16" max="16" width="13.625" style="7" bestFit="1" customWidth="1"/>
    <col min="17" max="18" width="9" style="7"/>
    <col min="19" max="19" width="3.75" style="7" customWidth="1"/>
    <col min="20" max="20" width="14.625" style="7" customWidth="1"/>
    <col min="21" max="21" width="10.875" style="7" bestFit="1" customWidth="1"/>
    <col min="22" max="16384" width="9" style="7"/>
  </cols>
  <sheetData>
    <row r="1" spans="1:23">
      <c r="A1" s="23" t="s">
        <v>40</v>
      </c>
      <c r="B1" s="23" t="s">
        <v>336</v>
      </c>
      <c r="C1" s="23"/>
      <c r="D1" s="67"/>
      <c r="E1" s="335" t="s">
        <v>324</v>
      </c>
      <c r="G1" s="23" t="s">
        <v>40</v>
      </c>
      <c r="H1" s="23" t="s">
        <v>340</v>
      </c>
      <c r="I1" s="23"/>
      <c r="J1" s="67"/>
      <c r="K1" s="335" t="s">
        <v>324</v>
      </c>
      <c r="M1" s="23" t="s">
        <v>40</v>
      </c>
      <c r="N1" s="23" t="s">
        <v>338</v>
      </c>
      <c r="O1" s="23"/>
      <c r="P1" s="67"/>
      <c r="Q1" s="335" t="s">
        <v>322</v>
      </c>
      <c r="R1" s="298"/>
      <c r="S1" s="23" t="s">
        <v>40</v>
      </c>
      <c r="T1" s="23" t="s">
        <v>339</v>
      </c>
      <c r="U1" s="23"/>
      <c r="V1" s="335" t="s">
        <v>323</v>
      </c>
    </row>
    <row r="2" spans="1:23">
      <c r="A2" s="7" t="s">
        <v>0</v>
      </c>
      <c r="C2" s="24">
        <f>'사업자작성3(전체사업비산출)'!C5</f>
        <v>648.6</v>
      </c>
      <c r="D2" s="302">
        <f>C2/400*121</f>
        <v>196.20150000000001</v>
      </c>
      <c r="E2" s="81" t="s">
        <v>88</v>
      </c>
      <c r="G2" s="7" t="s">
        <v>374</v>
      </c>
      <c r="I2" s="8">
        <f>'사업자작성3(전체사업비산출)'!F5</f>
        <v>3850000</v>
      </c>
      <c r="J2" s="55">
        <f>I2/D2</f>
        <v>19622.683822498806</v>
      </c>
      <c r="K2" s="68" t="s">
        <v>89</v>
      </c>
      <c r="M2" s="7" t="s">
        <v>103</v>
      </c>
      <c r="O2" s="71" t="s">
        <v>334</v>
      </c>
      <c r="P2" s="63"/>
      <c r="S2" s="7" t="s">
        <v>103</v>
      </c>
      <c r="U2" s="71" t="s">
        <v>335</v>
      </c>
      <c r="V2" s="63"/>
    </row>
    <row r="3" spans="1:23">
      <c r="A3" s="7" t="s">
        <v>1</v>
      </c>
      <c r="C3" s="24">
        <f>'사업자작성3(전체사업비산출)'!C6</f>
        <v>2398.8199999999997</v>
      </c>
      <c r="D3" s="302">
        <f t="shared" ref="D3:D7" si="0">C3/400*121</f>
        <v>725.6430499999999</v>
      </c>
      <c r="E3" s="81" t="s">
        <v>88</v>
      </c>
      <c r="G3" s="7" t="s">
        <v>24</v>
      </c>
      <c r="I3" s="8">
        <f>I2*J3</f>
        <v>177100</v>
      </c>
      <c r="J3" s="61">
        <v>4.5999999999999999E-2</v>
      </c>
      <c r="K3" s="68" t="s">
        <v>89</v>
      </c>
      <c r="M3" s="7" t="s">
        <v>102</v>
      </c>
      <c r="O3" s="8">
        <f>P3*C3</f>
        <v>3854903.7399999998</v>
      </c>
      <c r="P3" s="55">
        <f>'사업자작성3(전체사업비산출)'!G11</f>
        <v>1607</v>
      </c>
      <c r="Q3" s="63" t="s">
        <v>100</v>
      </c>
      <c r="R3" s="63"/>
      <c r="S3" s="140" t="s">
        <v>329</v>
      </c>
      <c r="T3" s="130"/>
      <c r="U3" s="303">
        <f>'사업자작성3(전체사업비산출)'!F20</f>
        <v>936.92146153846159</v>
      </c>
      <c r="W3" s="63"/>
    </row>
    <row r="4" spans="1:23">
      <c r="A4" s="7" t="s">
        <v>2</v>
      </c>
      <c r="C4" s="142">
        <f>'사업자작성3(전체사업비산출)'!C7</f>
        <v>3.1190000000000002</v>
      </c>
      <c r="D4" s="143">
        <f>'사업자작성3(전체사업비산출)'!C11</f>
        <v>3.18</v>
      </c>
      <c r="E4" s="63" t="s">
        <v>160</v>
      </c>
      <c r="I4" s="8"/>
      <c r="J4" s="55"/>
      <c r="K4" s="68"/>
      <c r="M4" s="7" t="s">
        <v>104</v>
      </c>
      <c r="N4" s="102"/>
      <c r="O4" s="103">
        <f>SUM(O5:O7)</f>
        <v>174136</v>
      </c>
      <c r="P4" s="97" t="s">
        <v>379</v>
      </c>
      <c r="S4" s="305" t="s">
        <v>353</v>
      </c>
      <c r="T4" s="304"/>
      <c r="U4" s="307">
        <f>'사업자작성3(전체사업비산출)'!F19</f>
        <v>121799.79000000001</v>
      </c>
    </row>
    <row r="5" spans="1:23">
      <c r="A5" s="7" t="s">
        <v>68</v>
      </c>
      <c r="C5" s="24">
        <f>'사업자작성3(전체사업비산출)'!C8</f>
        <v>1851.81</v>
      </c>
      <c r="D5" s="302">
        <f t="shared" si="0"/>
        <v>560.17252500000006</v>
      </c>
      <c r="E5" s="81" t="s">
        <v>88</v>
      </c>
      <c r="G5" s="7" t="s">
        <v>349</v>
      </c>
      <c r="I5" s="8">
        <f>I2+I3</f>
        <v>4027100</v>
      </c>
      <c r="J5" s="55">
        <f>I5/C2*400/121</f>
        <v>20525.327278333756</v>
      </c>
      <c r="K5" s="68" t="s">
        <v>89</v>
      </c>
      <c r="N5" s="104" t="s">
        <v>109</v>
      </c>
      <c r="O5" s="105">
        <f>P5*Q5</f>
        <v>0</v>
      </c>
      <c r="P5" s="24">
        <f>'사업자작성3(전체사업비산출)'!G13</f>
        <v>0</v>
      </c>
      <c r="Q5" s="55">
        <v>102</v>
      </c>
      <c r="R5" s="55"/>
      <c r="W5" s="55"/>
    </row>
    <row r="6" spans="1:23">
      <c r="A6" s="7" t="s">
        <v>114</v>
      </c>
      <c r="C6" s="24">
        <f>'사업자작성3(전체사업비산출)'!C9</f>
        <v>397.01</v>
      </c>
      <c r="D6" s="302">
        <f t="shared" si="0"/>
        <v>120.09552499999999</v>
      </c>
      <c r="E6" s="81" t="s">
        <v>88</v>
      </c>
      <c r="G6" s="349" t="s">
        <v>125</v>
      </c>
      <c r="H6" s="349"/>
      <c r="I6" s="350">
        <v>1.0999999999999999E-2</v>
      </c>
      <c r="J6" s="55"/>
      <c r="K6" s="68"/>
      <c r="M6" s="21"/>
      <c r="N6" s="106" t="s">
        <v>105</v>
      </c>
      <c r="O6" s="105">
        <f>'사업자작성3(전체사업비산출)'!F14</f>
        <v>49900</v>
      </c>
      <c r="P6" s="100" t="s">
        <v>142</v>
      </c>
    </row>
    <row r="7" spans="1:23">
      <c r="A7" s="7" t="s">
        <v>79</v>
      </c>
      <c r="C7" s="24">
        <f>'사업자작성3(전체사업비산출)'!C10</f>
        <v>0</v>
      </c>
      <c r="D7" s="302">
        <f t="shared" si="0"/>
        <v>0</v>
      </c>
      <c r="E7" s="81" t="s">
        <v>88</v>
      </c>
      <c r="G7" s="349" t="s">
        <v>377</v>
      </c>
      <c r="H7" s="349"/>
      <c r="I7" s="351">
        <v>0.02</v>
      </c>
      <c r="J7" s="55" t="s">
        <v>378</v>
      </c>
      <c r="K7" s="68"/>
      <c r="N7" s="106" t="s">
        <v>108</v>
      </c>
      <c r="O7" s="105">
        <f>'사업자작성3(전체사업비산출)'!F15</f>
        <v>124236</v>
      </c>
      <c r="P7" s="101" t="s">
        <v>143</v>
      </c>
    </row>
    <row r="8" spans="1:23">
      <c r="A8" s="7" t="s">
        <v>31</v>
      </c>
      <c r="C8" s="26">
        <v>30</v>
      </c>
      <c r="G8" s="7" t="s">
        <v>141</v>
      </c>
      <c r="I8" s="9">
        <f>I2*I6</f>
        <v>42350</v>
      </c>
      <c r="J8" s="98" t="s">
        <v>350</v>
      </c>
      <c r="M8" s="7" t="s">
        <v>106</v>
      </c>
      <c r="O8" s="8">
        <f>(O3+O4)*(1+P8)</f>
        <v>4118081.5182539998</v>
      </c>
      <c r="P8" s="10">
        <v>2.2100000000000002E-2</v>
      </c>
      <c r="S8" s="223" t="s">
        <v>354</v>
      </c>
      <c r="T8" s="290"/>
      <c r="U8" s="308">
        <f>O9+U4</f>
        <v>4491096.7880000006</v>
      </c>
    </row>
    <row r="9" spans="1:23">
      <c r="A9" s="23" t="s">
        <v>40</v>
      </c>
      <c r="B9" s="23" t="s">
        <v>337</v>
      </c>
      <c r="C9" s="23"/>
      <c r="D9" s="67"/>
      <c r="E9" s="335" t="s">
        <v>323</v>
      </c>
      <c r="G9" s="23" t="s">
        <v>40</v>
      </c>
      <c r="H9" s="23" t="s">
        <v>341</v>
      </c>
      <c r="I9" s="23"/>
      <c r="J9" s="67"/>
      <c r="K9" s="335" t="s">
        <v>323</v>
      </c>
      <c r="M9" s="80" t="s">
        <v>352</v>
      </c>
      <c r="N9" s="80"/>
      <c r="O9" s="306">
        <f>'사업자작성3(전체사업비산출)'!F17</f>
        <v>4369296.9980000006</v>
      </c>
      <c r="P9" s="100" t="s">
        <v>143</v>
      </c>
    </row>
    <row r="10" spans="1:23">
      <c r="A10" s="7" t="s">
        <v>0</v>
      </c>
      <c r="C10" s="24">
        <f>'사업자작성3(전체사업비산출)'!C15</f>
        <v>55</v>
      </c>
      <c r="D10" s="302">
        <f>C10/400*121</f>
        <v>16.637500000000003</v>
      </c>
      <c r="E10" s="81" t="s">
        <v>88</v>
      </c>
      <c r="G10" s="7" t="s">
        <v>376</v>
      </c>
      <c r="I10" s="9">
        <f>'사업자작성3(전체사업비산출)'!F8</f>
        <v>250000</v>
      </c>
      <c r="J10" s="55">
        <f>I10/D10</f>
        <v>15026.296018031553</v>
      </c>
      <c r="M10" s="7" t="s">
        <v>98</v>
      </c>
      <c r="O10" s="8">
        <v>1026</v>
      </c>
      <c r="P10" s="63" t="s">
        <v>99</v>
      </c>
      <c r="Q10" s="63" t="s">
        <v>100</v>
      </c>
      <c r="R10" s="63"/>
      <c r="W10" s="63"/>
    </row>
    <row r="11" spans="1:23">
      <c r="A11" s="129" t="s">
        <v>327</v>
      </c>
      <c r="C11" s="300">
        <f>'사업자작성3(전체사업비산출)'!C16</f>
        <v>110</v>
      </c>
      <c r="D11" s="301">
        <f>C11/400*121</f>
        <v>33.275000000000006</v>
      </c>
      <c r="E11" s="63" t="s">
        <v>333</v>
      </c>
      <c r="G11" s="349" t="s">
        <v>125</v>
      </c>
      <c r="H11" s="349"/>
      <c r="I11" s="350">
        <v>1.0999999999999999E-2</v>
      </c>
      <c r="J11" s="291"/>
      <c r="K11" s="290"/>
      <c r="O11" s="8"/>
      <c r="P11" s="63"/>
      <c r="Q11" s="63"/>
      <c r="R11" s="63"/>
      <c r="U11" s="8"/>
      <c r="V11" s="63"/>
      <c r="W11" s="63"/>
    </row>
    <row r="12" spans="1:23">
      <c r="A12" s="129" t="s">
        <v>328</v>
      </c>
      <c r="C12" s="300">
        <f>'사업자작성3(전체사업비산출)'!C17</f>
        <v>20</v>
      </c>
      <c r="D12" s="301">
        <f t="shared" ref="D12:D13" si="1">C12/400*121</f>
        <v>6.0500000000000007</v>
      </c>
      <c r="E12" s="63" t="s">
        <v>331</v>
      </c>
      <c r="G12" s="7" t="s">
        <v>141</v>
      </c>
      <c r="I12" s="9">
        <f>I10*I11*0.5</f>
        <v>1375</v>
      </c>
      <c r="J12" s="98" t="s">
        <v>351</v>
      </c>
      <c r="K12" s="292"/>
      <c r="O12" s="8"/>
      <c r="P12" s="63"/>
      <c r="Q12" s="63"/>
      <c r="R12" s="63"/>
    </row>
    <row r="13" spans="1:23">
      <c r="A13" s="129" t="s">
        <v>1</v>
      </c>
      <c r="C13" s="300">
        <f>'사업자작성3(전체사업비산출)'!C18</f>
        <v>130</v>
      </c>
      <c r="D13" s="301">
        <f t="shared" si="1"/>
        <v>39.325000000000003</v>
      </c>
      <c r="E13" s="63" t="s">
        <v>332</v>
      </c>
      <c r="I13" s="9"/>
      <c r="J13" s="98"/>
      <c r="K13" s="292"/>
      <c r="O13" s="8"/>
      <c r="P13" s="63"/>
      <c r="Q13" s="63"/>
      <c r="R13" s="63"/>
    </row>
    <row r="14" spans="1:23" s="79" customFormat="1">
      <c r="D14" s="108"/>
      <c r="E14" s="108"/>
      <c r="O14" s="109"/>
      <c r="P14" s="108"/>
      <c r="Q14" s="108"/>
      <c r="R14" s="108"/>
    </row>
    <row r="16" spans="1:23">
      <c r="A16" s="23" t="s">
        <v>40</v>
      </c>
      <c r="B16" s="23" t="s">
        <v>41</v>
      </c>
      <c r="C16" s="299"/>
      <c r="D16" s="335"/>
      <c r="E16" s="67"/>
      <c r="G16" s="23" t="s">
        <v>40</v>
      </c>
      <c r="H16" s="23" t="s">
        <v>118</v>
      </c>
      <c r="I16" s="313"/>
      <c r="J16" s="335" t="s">
        <v>357</v>
      </c>
      <c r="K16" s="67"/>
      <c r="M16" s="23" t="s">
        <v>40</v>
      </c>
      <c r="N16" s="23" t="s">
        <v>119</v>
      </c>
      <c r="O16" s="23"/>
      <c r="P16" s="335" t="s">
        <v>357</v>
      </c>
      <c r="Q16" s="67"/>
      <c r="R16" s="19"/>
    </row>
    <row r="17" spans="1:21">
      <c r="A17" s="357" t="s">
        <v>4</v>
      </c>
      <c r="B17" s="357"/>
      <c r="C17" s="356">
        <f>I8+O9</f>
        <v>4411646.9980000006</v>
      </c>
      <c r="D17" s="57"/>
      <c r="E17" s="335" t="s">
        <v>322</v>
      </c>
      <c r="G17" s="7" t="s">
        <v>29</v>
      </c>
      <c r="I17" s="7">
        <f>'사업자작성1(호별개요)'!C40</f>
        <v>29</v>
      </c>
      <c r="J17" s="64"/>
      <c r="K17" s="64"/>
      <c r="M17" s="7" t="s">
        <v>30</v>
      </c>
      <c r="O17" s="24">
        <f>C6</f>
        <v>397.01</v>
      </c>
      <c r="P17" s="54">
        <f>O17/400*121</f>
        <v>120.09552499999999</v>
      </c>
      <c r="Q17" s="81" t="s">
        <v>88</v>
      </c>
      <c r="R17" s="81"/>
    </row>
    <row r="18" spans="1:21">
      <c r="A18" s="62" t="s">
        <v>91</v>
      </c>
      <c r="C18" s="8">
        <f>C17-C19</f>
        <v>1512411.0790956453</v>
      </c>
      <c r="D18" s="289">
        <f>C18/C17</f>
        <v>0.34282232458337891</v>
      </c>
      <c r="E18" s="57"/>
      <c r="G18" s="7" t="s">
        <v>32</v>
      </c>
      <c r="I18" s="8">
        <f>'사업자작성1(호별개요)'!B56</f>
        <v>5468125</v>
      </c>
      <c r="J18" s="55">
        <f>I18/I17</f>
        <v>188556.03448275861</v>
      </c>
      <c r="K18" s="55" t="s">
        <v>90</v>
      </c>
      <c r="M18" s="7" t="s">
        <v>32</v>
      </c>
      <c r="O18" s="8">
        <f>'사업자작성1(호별개요)'!S49</f>
        <v>963875</v>
      </c>
      <c r="P18" s="55" t="s">
        <v>93</v>
      </c>
    </row>
    <row r="19" spans="1:21">
      <c r="A19" s="62" t="s">
        <v>92</v>
      </c>
      <c r="C19" s="5">
        <f>C24</f>
        <v>2899235.9189043553</v>
      </c>
      <c r="D19" s="289">
        <f>C19/C17</f>
        <v>0.65717767541662109</v>
      </c>
      <c r="E19" s="57"/>
      <c r="G19" s="7" t="s">
        <v>113</v>
      </c>
      <c r="I19" s="9">
        <f>'사업자작성1(호별개요)'!W40</f>
        <v>6835156.25</v>
      </c>
      <c r="J19" s="55">
        <f>I19/I17</f>
        <v>235695.04310344829</v>
      </c>
      <c r="K19" s="55" t="s">
        <v>90</v>
      </c>
      <c r="M19" s="53" t="s">
        <v>115</v>
      </c>
      <c r="N19" s="52"/>
      <c r="O19" s="110">
        <f>'사업자작성1(호별개요)'!W49</f>
        <v>1204843.75</v>
      </c>
      <c r="P19" s="25"/>
    </row>
    <row r="20" spans="1:21">
      <c r="A20" s="432" t="s">
        <v>380</v>
      </c>
      <c r="B20" s="432"/>
      <c r="C20" s="356">
        <f>I12+U4</f>
        <v>123174.79000000001</v>
      </c>
      <c r="D20" s="289">
        <v>1</v>
      </c>
      <c r="E20" s="335" t="s">
        <v>323</v>
      </c>
      <c r="G20" s="7" t="s">
        <v>36</v>
      </c>
      <c r="I20" s="8">
        <f>I18*J20</f>
        <v>4374500</v>
      </c>
      <c r="J20" s="56">
        <f>'사업자작성3(전체사업비산출)'!G27</f>
        <v>0.8</v>
      </c>
      <c r="K20" s="65"/>
      <c r="M20" s="7" t="s">
        <v>5</v>
      </c>
      <c r="O20" s="8">
        <f>'사업자작성1(호별개요)'!U49</f>
        <v>77110</v>
      </c>
      <c r="P20" s="56">
        <f>'사업자작성3(전체사업비산출)'!G28</f>
        <v>0.8</v>
      </c>
      <c r="Q20" s="7" t="s">
        <v>237</v>
      </c>
    </row>
    <row r="21" spans="1:21">
      <c r="A21" s="67" t="s">
        <v>120</v>
      </c>
      <c r="B21" s="23" t="s">
        <v>116</v>
      </c>
      <c r="C21" s="23"/>
      <c r="D21" s="335" t="s">
        <v>357</v>
      </c>
      <c r="E21" s="67"/>
      <c r="G21" s="7" t="s">
        <v>33</v>
      </c>
      <c r="I21" s="11">
        <f>'사업자작성3(전체사업비산출)'!G23</f>
        <v>0.5</v>
      </c>
      <c r="J21" s="63"/>
      <c r="K21" s="63"/>
      <c r="M21" s="7" t="s">
        <v>39</v>
      </c>
      <c r="O21" s="8">
        <f>'사업자작성1(호별개요)'!V49*12</f>
        <v>33311.520000000004</v>
      </c>
      <c r="P21" s="66"/>
    </row>
    <row r="22" spans="1:21">
      <c r="A22" s="59" t="s">
        <v>156</v>
      </c>
      <c r="C22" s="355">
        <f>(O8*C5/C3)</f>
        <v>3179023.2432270613</v>
      </c>
      <c r="D22" s="310" t="s">
        <v>355</v>
      </c>
      <c r="E22" s="7"/>
      <c r="G22" s="7" t="s">
        <v>35</v>
      </c>
      <c r="I22" s="2">
        <f>'사업자작성3(전체사업비산출)'!G24</f>
        <v>4.8000000000000001E-2</v>
      </c>
      <c r="J22" s="100" t="s">
        <v>121</v>
      </c>
      <c r="K22" s="63"/>
      <c r="M22" s="7" t="s">
        <v>126</v>
      </c>
      <c r="N22" s="8"/>
      <c r="O22" s="2">
        <f>'사업자작성3(전체사업비산출)'!G25</f>
        <v>0.05</v>
      </c>
      <c r="P22" s="69">
        <v>2</v>
      </c>
      <c r="S22" s="5"/>
      <c r="T22" s="55"/>
      <c r="U22" s="68"/>
    </row>
    <row r="23" spans="1:21">
      <c r="A23" s="359" t="s">
        <v>157</v>
      </c>
      <c r="B23" s="290"/>
      <c r="C23" s="358">
        <f>I8</f>
        <v>42350</v>
      </c>
      <c r="G23" s="7" t="s">
        <v>34</v>
      </c>
      <c r="I23" s="5">
        <f>I20*I21</f>
        <v>2187250</v>
      </c>
      <c r="J23" s="111">
        <f>I23/I17</f>
        <v>75422.413793103449</v>
      </c>
      <c r="K23" s="82" t="s">
        <v>90</v>
      </c>
      <c r="N23" s="11"/>
      <c r="O23" s="63"/>
      <c r="P23" s="63"/>
    </row>
    <row r="24" spans="1:21" ht="22.5">
      <c r="A24" s="7" t="s">
        <v>158</v>
      </c>
      <c r="C24" s="58">
        <f>(C22+C23)*D24</f>
        <v>2899235.9189043553</v>
      </c>
      <c r="D24" s="311">
        <v>0.9</v>
      </c>
      <c r="E24" s="312" t="s">
        <v>356</v>
      </c>
      <c r="G24" s="7" t="s">
        <v>37</v>
      </c>
      <c r="I24" s="4">
        <f>(I20-I23)*I22</f>
        <v>104988</v>
      </c>
      <c r="J24" s="112">
        <f>I24/I17/12</f>
        <v>301.68965517241378</v>
      </c>
      <c r="K24" s="66" t="s">
        <v>90</v>
      </c>
    </row>
    <row r="25" spans="1:21">
      <c r="A25" s="59" t="s">
        <v>117</v>
      </c>
      <c r="B25" s="59"/>
      <c r="C25" s="6">
        <f>SUM(C26:C27)</f>
        <v>3.5900000000000001E-2</v>
      </c>
      <c r="D25" s="7"/>
      <c r="E25" s="7"/>
      <c r="G25" s="7" t="s">
        <v>38</v>
      </c>
      <c r="I25" s="11">
        <v>0.05</v>
      </c>
      <c r="K25" s="63"/>
    </row>
    <row r="26" spans="1:21">
      <c r="A26" s="60"/>
      <c r="B26" s="98" t="s">
        <v>110</v>
      </c>
      <c r="C26" s="293">
        <v>1.84E-2</v>
      </c>
      <c r="D26" s="294" t="s">
        <v>319</v>
      </c>
      <c r="E26" s="7"/>
      <c r="G26" s="7" t="s">
        <v>122</v>
      </c>
      <c r="I26" s="2">
        <f>'사업자작성3(전체사업비산출)'!G25</f>
        <v>0.05</v>
      </c>
      <c r="J26" s="69">
        <v>2</v>
      </c>
    </row>
    <row r="27" spans="1:21">
      <c r="B27" s="99" t="s">
        <v>111</v>
      </c>
      <c r="C27" s="107">
        <v>1.7500000000000002E-2</v>
      </c>
      <c r="G27" s="7" t="s">
        <v>124</v>
      </c>
      <c r="I27" s="2">
        <v>1.4999999999999999E-2</v>
      </c>
      <c r="J27" s="69">
        <v>1</v>
      </c>
    </row>
    <row r="28" spans="1:21">
      <c r="B28" s="99" t="s">
        <v>112</v>
      </c>
      <c r="C28" s="107">
        <v>1E-3</v>
      </c>
      <c r="G28" s="7" t="s">
        <v>123</v>
      </c>
      <c r="H28" s="99"/>
      <c r="I28" s="352">
        <v>1.4999999999999999E-2</v>
      </c>
    </row>
    <row r="29" spans="1:21">
      <c r="G29" s="7" t="s">
        <v>15</v>
      </c>
      <c r="H29" s="99"/>
      <c r="I29" s="353">
        <f>J29*12*I17</f>
        <v>3480</v>
      </c>
      <c r="J29" s="66">
        <v>10</v>
      </c>
      <c r="K29" s="63" t="s">
        <v>90</v>
      </c>
    </row>
    <row r="30" spans="1:21">
      <c r="G30" s="7" t="s">
        <v>101</v>
      </c>
      <c r="I30" s="8">
        <f>J30*I17</f>
        <v>19140</v>
      </c>
      <c r="J30" s="354">
        <f>L30*12</f>
        <v>660</v>
      </c>
      <c r="K30" s="70" t="s">
        <v>90</v>
      </c>
      <c r="L30" s="9">
        <f>'사업자작성1(호별개요)'!F60</f>
        <v>55</v>
      </c>
    </row>
    <row r="31" spans="1:21">
      <c r="B31" s="99"/>
      <c r="C31" s="107"/>
      <c r="D31" s="7"/>
      <c r="E31" s="7"/>
      <c r="G31" s="7" t="s">
        <v>317</v>
      </c>
      <c r="H31" s="99"/>
      <c r="I31" s="8">
        <f>J31*I17</f>
        <v>20880</v>
      </c>
      <c r="J31" s="354">
        <f>L31*12</f>
        <v>720</v>
      </c>
      <c r="L31" s="9">
        <f>'사업자작성1(호별개요)'!F57</f>
        <v>60</v>
      </c>
    </row>
    <row r="32" spans="1:21" s="79" customFormat="1">
      <c r="B32" s="113"/>
      <c r="C32" s="114"/>
      <c r="H32" s="113"/>
      <c r="I32" s="114"/>
    </row>
    <row r="33" spans="1:5">
      <c r="A33" s="88"/>
      <c r="B33" s="88"/>
      <c r="C33" s="91"/>
      <c r="D33" s="92"/>
      <c r="E33" s="54"/>
    </row>
    <row r="34" spans="1:5">
      <c r="A34" s="88"/>
      <c r="B34" s="88"/>
      <c r="C34" s="90"/>
      <c r="D34" s="93"/>
      <c r="E34" s="58"/>
    </row>
    <row r="35" spans="1:5">
      <c r="A35" s="88"/>
      <c r="B35" s="88"/>
      <c r="C35" s="94"/>
      <c r="D35" s="92"/>
      <c r="E35" s="54"/>
    </row>
    <row r="36" spans="1:5">
      <c r="A36" s="88"/>
      <c r="B36" s="88"/>
      <c r="C36" s="95"/>
      <c r="D36" s="96"/>
      <c r="E36" s="19"/>
    </row>
    <row r="37" spans="1:5">
      <c r="A37" s="88"/>
      <c r="B37" s="88"/>
      <c r="C37" s="88"/>
      <c r="D37" s="96"/>
      <c r="E37" s="19"/>
    </row>
    <row r="38" spans="1:5">
      <c r="A38" s="88"/>
      <c r="B38" s="88"/>
      <c r="C38" s="88"/>
      <c r="D38" s="96"/>
      <c r="E38" s="19"/>
    </row>
    <row r="39" spans="1:5">
      <c r="A39" s="88"/>
      <c r="B39" s="88"/>
      <c r="C39" s="89"/>
      <c r="D39" s="96"/>
      <c r="E39" s="19"/>
    </row>
    <row r="40" spans="1:5">
      <c r="A40" s="88"/>
      <c r="B40" s="88"/>
      <c r="C40" s="89"/>
      <c r="D40" s="96"/>
      <c r="E40" s="19"/>
    </row>
    <row r="41" spans="1:5">
      <c r="A41" s="88"/>
      <c r="B41" s="88"/>
      <c r="C41" s="89"/>
      <c r="D41" s="96"/>
      <c r="E41" s="19"/>
    </row>
    <row r="42" spans="1:5">
      <c r="A42" s="88"/>
      <c r="B42" s="88"/>
      <c r="C42" s="90"/>
      <c r="D42" s="96"/>
    </row>
    <row r="43" spans="1:5">
      <c r="A43" s="88"/>
      <c r="B43" s="88"/>
      <c r="C43" s="95"/>
      <c r="D43" s="96"/>
    </row>
    <row r="46" spans="1:5">
      <c r="C46" s="4"/>
    </row>
    <row r="47" spans="1:5">
      <c r="C47" s="86"/>
    </row>
    <row r="52" spans="2:2">
      <c r="B52" s="7" t="s">
        <v>284</v>
      </c>
    </row>
  </sheetData>
  <mergeCells count="1">
    <mergeCell ref="A20:B20"/>
  </mergeCells>
  <phoneticPr fontId="2" type="noConversion"/>
  <dataValidations count="1">
    <dataValidation type="list" allowBlank="1" showInputMessage="1" showErrorMessage="1" sqref="O2 U2">
      <formula1>"다가구주택,다세대주택,연립주택,아파트,기숙사"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ignoredErrors>
    <ignoredError sqref="D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116"/>
  <sheetViews>
    <sheetView showGridLines="0" tabSelected="1" view="pageBreakPreview" zoomScaleNormal="85" zoomScaleSheetLayoutView="100" workbookViewId="0">
      <selection activeCell="A62" sqref="A62"/>
    </sheetView>
  </sheetViews>
  <sheetFormatPr defaultColWidth="9" defaultRowHeight="16.5"/>
  <cols>
    <col min="1" max="1" width="10.25" style="7" bestFit="1" customWidth="1"/>
    <col min="2" max="2" width="14.25" style="7" bestFit="1" customWidth="1"/>
    <col min="3" max="3" width="10.125" style="7" bestFit="1" customWidth="1"/>
    <col min="4" max="4" width="9.125" style="7" bestFit="1" customWidth="1"/>
    <col min="5" max="5" width="11.625" style="8" bestFit="1" customWidth="1"/>
    <col min="6" max="6" width="11.625" style="138" customWidth="1"/>
    <col min="7" max="7" width="11.625" style="7" bestFit="1" customWidth="1"/>
    <col min="8" max="8" width="3" style="21" customWidth="1"/>
    <col min="9" max="9" width="12.125" style="7" customWidth="1"/>
    <col min="10" max="10" width="13.125" style="7" customWidth="1"/>
    <col min="11" max="11" width="3.125" style="21" customWidth="1"/>
    <col min="12" max="12" width="12.625" style="7" customWidth="1"/>
    <col min="13" max="13" width="13.125" style="7" customWidth="1"/>
    <col min="14" max="15" width="9.125" style="7" customWidth="1"/>
    <col min="16" max="16" width="6.75" style="7" customWidth="1"/>
    <col min="17" max="17" width="9.125" style="7" customWidth="1"/>
    <col min="18" max="18" width="4.625" style="21" customWidth="1"/>
    <col min="19" max="19" width="14.5" style="7" customWidth="1"/>
    <col min="20" max="20" width="12.75" style="7" customWidth="1"/>
    <col min="21" max="21" width="11.5" style="7" customWidth="1"/>
    <col min="22" max="22" width="11.125" style="7" customWidth="1"/>
    <col min="23" max="23" width="11.625" style="7" customWidth="1"/>
    <col min="24" max="24" width="3.5" style="21" customWidth="1"/>
    <col min="25" max="25" width="9.75" style="7" customWidth="1"/>
    <col min="26" max="26" width="13.125" style="7" customWidth="1"/>
    <col min="27" max="27" width="9.75" style="7" customWidth="1"/>
    <col min="28" max="30" width="9.125" style="7" customWidth="1"/>
    <col min="31" max="33" width="9" style="7" customWidth="1"/>
    <col min="34" max="34" width="3.125" style="21" customWidth="1"/>
    <col min="35" max="35" width="13.75" style="7" customWidth="1"/>
    <col min="36" max="36" width="7.125" style="7" customWidth="1"/>
    <col min="37" max="38" width="9" style="7" customWidth="1"/>
    <col min="39" max="39" width="2.25" style="21" customWidth="1"/>
    <col min="40" max="40" width="12.5" style="7" customWidth="1"/>
    <col min="41" max="41" width="3.25" style="21" customWidth="1"/>
    <col min="42" max="42" width="12" style="7" customWidth="1"/>
    <col min="43" max="43" width="11" style="7" customWidth="1"/>
    <col min="44" max="44" width="15.125" style="7" customWidth="1"/>
    <col min="45" max="51" width="9" style="7" customWidth="1"/>
    <col min="52" max="52" width="4.25" style="7" customWidth="1"/>
    <col min="53" max="54" width="11.625" style="7" customWidth="1"/>
    <col min="55" max="55" width="11" style="7" customWidth="1"/>
    <col min="56" max="57" width="15.125" style="7" customWidth="1"/>
    <col min="58" max="61" width="9" style="7" customWidth="1"/>
    <col min="62" max="62" width="4.625" style="7" customWidth="1"/>
    <col min="63" max="63" width="13" style="7" hidden="1" customWidth="1"/>
    <col min="64" max="64" width="12.625" style="7" hidden="1" customWidth="1"/>
    <col min="65" max="65" width="9" style="7" hidden="1" customWidth="1"/>
    <col min="66" max="66" width="11" style="7" hidden="1" customWidth="1"/>
    <col min="67" max="67" width="13" style="7" hidden="1" customWidth="1"/>
    <col min="68" max="68" width="23.25" style="7" hidden="1" customWidth="1"/>
    <col min="69" max="69" width="9" style="7" hidden="1" customWidth="1"/>
    <col min="70" max="70" width="9" style="7" customWidth="1"/>
    <col min="71" max="16384" width="9" style="7"/>
  </cols>
  <sheetData>
    <row r="1" spans="1:69" s="233" customFormat="1" ht="45.75" customHeight="1">
      <c r="A1" s="433" t="s">
        <v>407</v>
      </c>
      <c r="B1" s="434"/>
      <c r="C1" s="434"/>
      <c r="D1" s="434"/>
      <c r="E1" s="434"/>
      <c r="F1" s="434"/>
      <c r="G1" s="434"/>
      <c r="H1" s="434"/>
      <c r="I1" s="434"/>
      <c r="J1" s="435"/>
    </row>
    <row r="2" spans="1:69" s="233" customFormat="1" ht="21" thickBot="1">
      <c r="A2" s="249" t="s">
        <v>159</v>
      </c>
      <c r="B2" s="250"/>
      <c r="C2" s="250"/>
      <c r="D2" s="251"/>
      <c r="E2" s="251"/>
      <c r="F2" s="251"/>
      <c r="G2" s="251"/>
      <c r="H2" s="250"/>
      <c r="I2" s="250"/>
      <c r="J2" s="252"/>
    </row>
    <row r="3" spans="1:69" s="349" customFormat="1" ht="64.5" customHeight="1" thickBot="1">
      <c r="A3" s="436" t="s">
        <v>403</v>
      </c>
      <c r="B3" s="437"/>
      <c r="C3" s="437"/>
      <c r="D3" s="437"/>
      <c r="E3" s="437"/>
      <c r="F3" s="437"/>
      <c r="G3" s="437"/>
      <c r="H3" s="437"/>
      <c r="I3" s="437"/>
      <c r="J3" s="438"/>
    </row>
    <row r="5" spans="1:69">
      <c r="A5" s="253" t="s">
        <v>286</v>
      </c>
      <c r="B5" s="21"/>
      <c r="C5" s="21"/>
      <c r="D5" s="21"/>
    </row>
    <row r="6" spans="1:69">
      <c r="A6" s="47" t="s">
        <v>166</v>
      </c>
      <c r="B6" s="23"/>
      <c r="C6" s="23"/>
      <c r="D6" s="23"/>
      <c r="E6" s="17"/>
      <c r="F6" s="254"/>
      <c r="G6" s="23"/>
      <c r="I6" s="47" t="s">
        <v>167</v>
      </c>
      <c r="J6" s="23"/>
      <c r="L6" s="23" t="s">
        <v>168</v>
      </c>
      <c r="M6" s="23"/>
      <c r="N6" s="23"/>
      <c r="O6" s="23"/>
      <c r="P6" s="23"/>
      <c r="Q6" s="23"/>
      <c r="S6" s="21" t="s">
        <v>76</v>
      </c>
      <c r="T6" s="21"/>
      <c r="U6" s="21"/>
      <c r="V6" s="21"/>
      <c r="W6" s="21"/>
      <c r="Y6" s="42" t="s">
        <v>127</v>
      </c>
      <c r="Z6" s="22"/>
      <c r="AA6" s="22"/>
      <c r="AB6" s="22"/>
      <c r="AC6" s="22"/>
      <c r="AD6" s="22"/>
      <c r="AE6" s="22"/>
      <c r="AF6" s="22"/>
      <c r="AG6" s="22"/>
      <c r="AH6" s="22"/>
      <c r="AI6" s="42" t="s">
        <v>77</v>
      </c>
      <c r="AJ6" s="1"/>
      <c r="AK6" s="1"/>
      <c r="AL6" s="1"/>
      <c r="AM6" s="22"/>
      <c r="AN6" s="42" t="s">
        <v>78</v>
      </c>
      <c r="AP6" s="42" t="s">
        <v>169</v>
      </c>
      <c r="BA6" s="42" t="s">
        <v>81</v>
      </c>
      <c r="BB6" s="42"/>
      <c r="BK6" s="7" t="s">
        <v>49</v>
      </c>
    </row>
    <row r="7" spans="1:69">
      <c r="A7" s="39" t="s">
        <v>170</v>
      </c>
      <c r="B7" s="39" t="s">
        <v>44</v>
      </c>
      <c r="C7" s="39" t="s">
        <v>43</v>
      </c>
      <c r="D7" s="39" t="s">
        <v>154</v>
      </c>
      <c r="E7" s="122" t="s">
        <v>285</v>
      </c>
      <c r="F7" s="255" t="s">
        <v>287</v>
      </c>
      <c r="G7" s="43" t="s">
        <v>155</v>
      </c>
      <c r="I7" s="43" t="s">
        <v>75</v>
      </c>
      <c r="J7" s="43" t="s">
        <v>90</v>
      </c>
      <c r="L7" s="43" t="s">
        <v>90</v>
      </c>
      <c r="M7" s="43" t="s">
        <v>73</v>
      </c>
      <c r="N7" s="418" t="s">
        <v>69</v>
      </c>
      <c r="O7" s="419" t="s">
        <v>70</v>
      </c>
      <c r="P7" s="419" t="s">
        <v>71</v>
      </c>
      <c r="Q7" s="43" t="s">
        <v>72</v>
      </c>
      <c r="S7" s="41" t="s">
        <v>171</v>
      </c>
      <c r="T7" s="40" t="s">
        <v>145</v>
      </c>
      <c r="U7" s="40" t="s">
        <v>34</v>
      </c>
      <c r="V7" s="40" t="s">
        <v>45</v>
      </c>
      <c r="W7" s="420" t="s">
        <v>172</v>
      </c>
      <c r="X7" s="22"/>
      <c r="Y7" s="40" t="s">
        <v>173</v>
      </c>
      <c r="Z7" s="40" t="s">
        <v>46</v>
      </c>
      <c r="AA7" s="40" t="s">
        <v>48</v>
      </c>
      <c r="AB7" s="40" t="s">
        <v>57</v>
      </c>
      <c r="AC7" s="40" t="s">
        <v>174</v>
      </c>
      <c r="AD7" s="40" t="s">
        <v>175</v>
      </c>
      <c r="AE7" s="40" t="s">
        <v>176</v>
      </c>
      <c r="AF7" s="40" t="s">
        <v>177</v>
      </c>
      <c r="AG7" s="40" t="s">
        <v>178</v>
      </c>
      <c r="AH7" s="22"/>
      <c r="AI7" s="40" t="s">
        <v>58</v>
      </c>
      <c r="AJ7" s="40" t="s">
        <v>59</v>
      </c>
      <c r="AK7" s="40" t="s">
        <v>63</v>
      </c>
      <c r="AL7" s="40" t="s">
        <v>64</v>
      </c>
      <c r="AM7" s="22"/>
      <c r="AN7" s="40" t="s">
        <v>175</v>
      </c>
      <c r="AP7" s="49" t="s">
        <v>47</v>
      </c>
      <c r="AQ7" s="49" t="s">
        <v>65</v>
      </c>
      <c r="AR7" s="40" t="s">
        <v>66</v>
      </c>
      <c r="AS7" s="49" t="s">
        <v>67</v>
      </c>
      <c r="AT7" s="49" t="s">
        <v>56</v>
      </c>
      <c r="AU7" s="49" t="s">
        <v>53</v>
      </c>
      <c r="AV7" s="49" t="s">
        <v>58</v>
      </c>
      <c r="AW7" s="49" t="s">
        <v>59</v>
      </c>
      <c r="AX7" s="49" t="s">
        <v>63</v>
      </c>
      <c r="AY7" s="49" t="s">
        <v>64</v>
      </c>
      <c r="AZ7" s="21"/>
      <c r="BA7" s="40" t="s">
        <v>16</v>
      </c>
      <c r="BB7" s="40" t="s">
        <v>82</v>
      </c>
      <c r="BC7" s="49" t="s">
        <v>61</v>
      </c>
      <c r="BD7" s="40" t="s">
        <v>83</v>
      </c>
      <c r="BE7" s="51" t="s">
        <v>84</v>
      </c>
      <c r="BF7" s="51" t="s">
        <v>86</v>
      </c>
      <c r="BG7" s="51" t="s">
        <v>87</v>
      </c>
      <c r="BH7" s="51" t="s">
        <v>80</v>
      </c>
      <c r="BI7" s="51" t="s">
        <v>85</v>
      </c>
      <c r="BK7" s="35" t="s">
        <v>50</v>
      </c>
      <c r="BL7" s="35" t="s">
        <v>51</v>
      </c>
      <c r="BM7" s="35" t="s">
        <v>52</v>
      </c>
      <c r="BN7" s="35" t="s">
        <v>53</v>
      </c>
      <c r="BO7" s="35" t="s">
        <v>54</v>
      </c>
      <c r="BP7" s="35" t="s">
        <v>55</v>
      </c>
      <c r="BQ7" s="35" t="s">
        <v>53</v>
      </c>
    </row>
    <row r="8" spans="1:69">
      <c r="A8" s="261" t="s">
        <v>288</v>
      </c>
      <c r="B8" s="262">
        <v>201</v>
      </c>
      <c r="C8" s="262">
        <v>1</v>
      </c>
      <c r="D8" s="263">
        <v>28.56</v>
      </c>
      <c r="E8" s="263">
        <v>49.13</v>
      </c>
      <c r="F8" s="256">
        <f>(D8/$D$40)*$B$65</f>
        <v>2.8797712022879769</v>
      </c>
      <c r="G8" s="28">
        <f t="shared" ref="G8:G25" si="0">$G$40*D8/$D$40</f>
        <v>14.540957045968348</v>
      </c>
      <c r="I8" s="171">
        <f>B53</f>
        <v>2519</v>
      </c>
      <c r="J8" s="4">
        <f>G8*I8</f>
        <v>36628.670798794272</v>
      </c>
      <c r="L8" s="4">
        <f>M8*E8</f>
        <v>38984.655000000013</v>
      </c>
      <c r="M8" s="4">
        <f>N8*O8*P8*Q8</f>
        <v>793.50000000000023</v>
      </c>
      <c r="N8" s="172">
        <v>690</v>
      </c>
      <c r="O8" s="173">
        <v>1</v>
      </c>
      <c r="P8" s="173">
        <v>1</v>
      </c>
      <c r="Q8" s="27">
        <f t="shared" ref="Q8:Q25" si="1">SUMPRODUCT(($BK$71:$BK$96&lt;I8)*(I8&lt;=$BL$71:$BL$96)*$BM$71:$BM$96)</f>
        <v>1.1500000000000004</v>
      </c>
      <c r="S8" s="8">
        <f t="shared" ref="S8:S25" si="2">$S$40*D8/$D$40</f>
        <v>143154.08095919041</v>
      </c>
      <c r="T8" s="8">
        <f>S8*사업개요!$J$20</f>
        <v>114523.26476735233</v>
      </c>
      <c r="U8" s="8">
        <f>ROUND(T8*사업개요!$I$21,-3)</f>
        <v>57000</v>
      </c>
      <c r="V8" s="8">
        <f>ROUND((T8-U8)*사업개요!$I$22/12,0)</f>
        <v>230</v>
      </c>
      <c r="W8" s="8">
        <f>S8/0.8</f>
        <v>178942.60119898801</v>
      </c>
      <c r="X8" s="20"/>
      <c r="Y8" s="11">
        <v>0.8</v>
      </c>
      <c r="Z8" s="11">
        <v>0.7</v>
      </c>
      <c r="AA8" s="9">
        <f t="shared" ref="AA8:AA36" si="3">W8*Y8*Z8</f>
        <v>100207.85667143328</v>
      </c>
      <c r="AB8" s="6">
        <f t="shared" ref="AB8:AB36" si="4">SUMPRODUCT(($BK$8:$BK$11&lt;AA8)*(AA8&lt;=$BL$8:$BL$11)*$BM$8:$BM$11)</f>
        <v>1.5E-3</v>
      </c>
      <c r="AC8" s="34">
        <f t="shared" ref="AC8:AC36" si="5">SUMPRODUCT(($BK$8:$BK$11&lt;AA8)*(AA8&lt;=$BL$8:$BL$11)*$BN$8:$BN$11)</f>
        <v>30</v>
      </c>
      <c r="AD8" s="4">
        <f>AA8*AB8-AC8</f>
        <v>120.31178500714992</v>
      </c>
      <c r="AE8" s="11">
        <f t="shared" ref="AE8:AE25" si="6">SUMPRODUCT(($BK$49:$BK$52&lt;D8)*(D8&lt;=$BL$49:$BL$52)*$BM$49:$BM$52)</f>
        <v>1</v>
      </c>
      <c r="AF8" s="8">
        <f>AD8*AE8</f>
        <v>120.31178500714992</v>
      </c>
      <c r="AG8" s="9">
        <f>AD8-AF8</f>
        <v>0</v>
      </c>
      <c r="AI8" s="9">
        <f>AA8*1.4/1000</f>
        <v>140.29099934000658</v>
      </c>
      <c r="AJ8" s="11">
        <f>AE8</f>
        <v>1</v>
      </c>
      <c r="AK8" s="9">
        <f>AI8*AJ8</f>
        <v>140.29099934000658</v>
      </c>
      <c r="AL8" s="9">
        <f>AI8-AK8</f>
        <v>0</v>
      </c>
      <c r="AN8" s="9">
        <f>AG8*20%</f>
        <v>0</v>
      </c>
      <c r="AP8" s="8">
        <f>AQ8*Z8*(0.5*AR8+AS8)</f>
        <v>27289.258500000007</v>
      </c>
      <c r="AQ8" s="8">
        <f>L8</f>
        <v>38984.655000000013</v>
      </c>
      <c r="AR8" s="12">
        <f>사업개요!$C$7/사업개요!$C$3</f>
        <v>0</v>
      </c>
      <c r="AS8" s="3">
        <f>1-AR8</f>
        <v>1</v>
      </c>
      <c r="AT8" s="10">
        <f t="shared" ref="AT8:AT36" si="7">SUMPRODUCT(($BK$15:$BK$20&lt;AP8)*(AP8&lt;=$BL$15:$BL$20)*$BM$15:$BM$20)</f>
        <v>8.0000000000000004E-4</v>
      </c>
      <c r="AU8" s="7">
        <f t="shared" ref="AU8:AU36" si="8">SUMPRODUCT(($BK$15:$BK$20&lt;AP8)*(AP8&lt;=$BL$15:$BL$20)*$BN$15:$BN$20)</f>
        <v>7.1000000000000014</v>
      </c>
      <c r="AV8" s="8">
        <f>AP8*AT8-AU8</f>
        <v>14.731406800000006</v>
      </c>
      <c r="AW8" s="3">
        <f t="shared" ref="AW8:AW25" si="9">SUMPRODUCT(($BK$49:$BK$52&lt;D8)*(D8&lt;=$BL$49:$BL$52)*$BO$49:$BO$52)</f>
        <v>1</v>
      </c>
      <c r="AX8" s="8">
        <f>AV8*AW8</f>
        <v>14.731406800000006</v>
      </c>
      <c r="AY8" s="8">
        <f>AV8-AX8</f>
        <v>0</v>
      </c>
      <c r="AZ8" s="8"/>
      <c r="BA8" s="8">
        <f>AG8</f>
        <v>0</v>
      </c>
      <c r="BB8" s="50">
        <f>(AE8=1)*AF8*0.15</f>
        <v>18.046767751072487</v>
      </c>
      <c r="BC8" s="8">
        <f>AL8</f>
        <v>0</v>
      </c>
      <c r="BD8" s="12">
        <f>AN8</f>
        <v>0</v>
      </c>
      <c r="BE8" s="8">
        <f>AY8</f>
        <v>0</v>
      </c>
      <c r="BF8" s="8">
        <f>SUM(BA8:BE8)</f>
        <v>18.046767751072487</v>
      </c>
      <c r="BG8" s="8">
        <f>AD8+AI8+AV8+AN8</f>
        <v>275.3341911471565</v>
      </c>
      <c r="BH8" s="8">
        <f>BG8*J8/(J8+L8)</f>
        <v>133.37762015676751</v>
      </c>
      <c r="BI8" s="8">
        <f>BF8*L8/(J8+L8)</f>
        <v>9.3045373577775585</v>
      </c>
      <c r="BK8" s="31"/>
      <c r="BL8" s="31">
        <v>60000</v>
      </c>
      <c r="BM8" s="29">
        <v>1E-3</v>
      </c>
      <c r="BN8" s="32">
        <v>0</v>
      </c>
      <c r="BO8" s="29"/>
      <c r="BP8" s="30"/>
      <c r="BQ8" s="30"/>
    </row>
    <row r="9" spans="1:69">
      <c r="A9" s="261" t="s">
        <v>288</v>
      </c>
      <c r="B9" s="262">
        <v>202</v>
      </c>
      <c r="C9" s="262">
        <v>1</v>
      </c>
      <c r="D9" s="263">
        <v>28.56</v>
      </c>
      <c r="E9" s="263">
        <v>49.13</v>
      </c>
      <c r="F9" s="256">
        <f t="shared" ref="F9:F36" si="10">(D9/$D$40)*$B$65</f>
        <v>2.8797712022879769</v>
      </c>
      <c r="G9" s="246">
        <f t="shared" si="0"/>
        <v>14.540957045968348</v>
      </c>
      <c r="I9" s="171">
        <f>I8</f>
        <v>2519</v>
      </c>
      <c r="J9" s="4">
        <f t="shared" ref="J9:J36" si="11">G9*I9</f>
        <v>36628.670798794272</v>
      </c>
      <c r="L9" s="4">
        <f t="shared" ref="L9:L36" si="12">M9*E9</f>
        <v>38984.655000000013</v>
      </c>
      <c r="M9" s="4">
        <f t="shared" ref="M9:M36" si="13">N9*O9*P9*Q9</f>
        <v>793.50000000000023</v>
      </c>
      <c r="N9" s="4">
        <f>N8</f>
        <v>690</v>
      </c>
      <c r="O9" s="27">
        <f>O8</f>
        <v>1</v>
      </c>
      <c r="P9" s="27">
        <f>P8</f>
        <v>1</v>
      </c>
      <c r="Q9" s="27">
        <f t="shared" si="1"/>
        <v>1.1500000000000004</v>
      </c>
      <c r="S9" s="8">
        <f t="shared" si="2"/>
        <v>143154.08095919041</v>
      </c>
      <c r="T9" s="8">
        <f>S9*사업개요!$J$20</f>
        <v>114523.26476735233</v>
      </c>
      <c r="U9" s="8">
        <f>ROUND(T9*사업개요!$I$21,-3)</f>
        <v>57000</v>
      </c>
      <c r="V9" s="8">
        <f>ROUND((T9-U9)*사업개요!$I$22/12,0)</f>
        <v>230</v>
      </c>
      <c r="W9" s="8">
        <f t="shared" ref="W9:W36" si="14">S9/0.8</f>
        <v>178942.60119898801</v>
      </c>
      <c r="X9" s="20"/>
      <c r="Y9" s="11">
        <f>Y8</f>
        <v>0.8</v>
      </c>
      <c r="Z9" s="11">
        <f>Z8</f>
        <v>0.7</v>
      </c>
      <c r="AA9" s="9">
        <f t="shared" si="3"/>
        <v>100207.85667143328</v>
      </c>
      <c r="AB9" s="6">
        <f t="shared" si="4"/>
        <v>1.5E-3</v>
      </c>
      <c r="AC9" s="34">
        <f t="shared" si="5"/>
        <v>30</v>
      </c>
      <c r="AD9" s="4">
        <f t="shared" ref="AD9:AD36" si="15">AA9*AB9-AC9</f>
        <v>120.31178500714992</v>
      </c>
      <c r="AE9" s="11">
        <f t="shared" si="6"/>
        <v>1</v>
      </c>
      <c r="AF9" s="8">
        <f t="shared" ref="AF9:AF36" si="16">AD9*AE9</f>
        <v>120.31178500714992</v>
      </c>
      <c r="AG9" s="9">
        <f t="shared" ref="AG9:AG36" si="17">AD9-AF9</f>
        <v>0</v>
      </c>
      <c r="AI9" s="9">
        <f t="shared" ref="AI9:AI36" si="18">AA9*1.4/1000</f>
        <v>140.29099934000658</v>
      </c>
      <c r="AJ9" s="11">
        <f t="shared" ref="AJ9:AJ36" si="19">AE9</f>
        <v>1</v>
      </c>
      <c r="AK9" s="9">
        <f t="shared" ref="AK9:AK36" si="20">AI9*AJ9</f>
        <v>140.29099934000658</v>
      </c>
      <c r="AL9" s="9">
        <f t="shared" ref="AL9:AL36" si="21">AI9-AK9</f>
        <v>0</v>
      </c>
      <c r="AN9" s="9">
        <f t="shared" ref="AN9:AN36" si="22">AG9*20%</f>
        <v>0</v>
      </c>
      <c r="AP9" s="8">
        <f t="shared" ref="AP9:AP36" si="23">AQ9*Z9*(0.5*AR9+AS9)</f>
        <v>27289.258500000007</v>
      </c>
      <c r="AQ9" s="8">
        <f t="shared" ref="AQ9:AQ36" si="24">L9</f>
        <v>38984.655000000013</v>
      </c>
      <c r="AR9" s="12">
        <f>사업개요!$C$7/사업개요!$C$3</f>
        <v>0</v>
      </c>
      <c r="AS9" s="3">
        <f t="shared" ref="AS9:AS36" si="25">1-AR9</f>
        <v>1</v>
      </c>
      <c r="AT9" s="10">
        <f t="shared" si="7"/>
        <v>8.0000000000000004E-4</v>
      </c>
      <c r="AU9" s="7">
        <f t="shared" si="8"/>
        <v>7.1000000000000014</v>
      </c>
      <c r="AV9" s="8">
        <f t="shared" ref="AV9:AV36" si="26">AP9*AT9-AU9</f>
        <v>14.731406800000006</v>
      </c>
      <c r="AW9" s="3">
        <f t="shared" si="9"/>
        <v>1</v>
      </c>
      <c r="AX9" s="8">
        <f t="shared" ref="AX9:AX36" si="27">AV9*AW9</f>
        <v>14.731406800000006</v>
      </c>
      <c r="AY9" s="8">
        <f t="shared" ref="AY9:AY36" si="28">AV9-AX9</f>
        <v>0</v>
      </c>
      <c r="AZ9" s="8"/>
      <c r="BA9" s="50">
        <f t="shared" ref="BA9:BA36" si="29">AG9</f>
        <v>0</v>
      </c>
      <c r="BB9" s="50">
        <f t="shared" ref="BB9:BB36" si="30">(AE9=1)*AF9*0.15</f>
        <v>18.046767751072487</v>
      </c>
      <c r="BC9" s="8">
        <f t="shared" ref="BC9:BC36" si="31">AL9</f>
        <v>0</v>
      </c>
      <c r="BD9" s="12">
        <f t="shared" ref="BD9:BD36" si="32">AN9</f>
        <v>0</v>
      </c>
      <c r="BE9" s="8">
        <f t="shared" ref="BE9:BE36" si="33">AY9</f>
        <v>0</v>
      </c>
      <c r="BF9" s="8">
        <f t="shared" ref="BF9:BF36" si="34">SUM(BA9:BE9)</f>
        <v>18.046767751072487</v>
      </c>
      <c r="BG9" s="8">
        <f t="shared" ref="BG9:BG36" si="35">AD9+AI9+AV9+AN9</f>
        <v>275.3341911471565</v>
      </c>
      <c r="BH9" s="8">
        <f t="shared" ref="BH9:BH36" si="36">BG9*J9/(J9+L9)</f>
        <v>133.37762015676751</v>
      </c>
      <c r="BI9" s="8">
        <f t="shared" ref="BI9:BI36" si="37">BF9*L9/(J9+L9)</f>
        <v>9.3045373577775585</v>
      </c>
      <c r="BK9" s="31">
        <f>BL8</f>
        <v>60000</v>
      </c>
      <c r="BL9" s="31">
        <v>150000</v>
      </c>
      <c r="BM9" s="29">
        <v>1.5E-3</v>
      </c>
      <c r="BN9" s="32">
        <v>30</v>
      </c>
      <c r="BO9" s="29">
        <f>BM9-BM8</f>
        <v>5.0000000000000001E-4</v>
      </c>
      <c r="BP9" s="33">
        <f>BL8*BO9</f>
        <v>30</v>
      </c>
      <c r="BQ9" s="33">
        <f>SUM($BP$9:BP9)</f>
        <v>30</v>
      </c>
    </row>
    <row r="10" spans="1:69">
      <c r="A10" s="261" t="s">
        <v>288</v>
      </c>
      <c r="B10" s="262">
        <v>203</v>
      </c>
      <c r="C10" s="262">
        <v>1</v>
      </c>
      <c r="D10" s="263">
        <v>28.56</v>
      </c>
      <c r="E10" s="263">
        <v>49.13</v>
      </c>
      <c r="F10" s="256">
        <f t="shared" si="10"/>
        <v>2.8797712022879769</v>
      </c>
      <c r="G10" s="246">
        <f t="shared" si="0"/>
        <v>14.540957045968348</v>
      </c>
      <c r="I10" s="171">
        <f t="shared" ref="I10:I36" si="38">I9</f>
        <v>2519</v>
      </c>
      <c r="J10" s="4">
        <f t="shared" si="11"/>
        <v>36628.670798794272</v>
      </c>
      <c r="L10" s="4">
        <f t="shared" si="12"/>
        <v>38984.655000000013</v>
      </c>
      <c r="M10" s="4">
        <f t="shared" si="13"/>
        <v>793.50000000000023</v>
      </c>
      <c r="N10" s="4">
        <f t="shared" ref="N10:N36" si="39">N9</f>
        <v>690</v>
      </c>
      <c r="O10" s="27">
        <f t="shared" ref="O10:P25" si="40">O9</f>
        <v>1</v>
      </c>
      <c r="P10" s="27">
        <f t="shared" si="40"/>
        <v>1</v>
      </c>
      <c r="Q10" s="27">
        <f t="shared" si="1"/>
        <v>1.1500000000000004</v>
      </c>
      <c r="S10" s="8">
        <f t="shared" si="2"/>
        <v>143154.08095919041</v>
      </c>
      <c r="T10" s="8">
        <f>S10*사업개요!$J$20</f>
        <v>114523.26476735233</v>
      </c>
      <c r="U10" s="8">
        <f>ROUND(T10*사업개요!$I$21,-3)</f>
        <v>57000</v>
      </c>
      <c r="V10" s="8">
        <f>ROUND((T10-U10)*사업개요!$I$22/12,0)</f>
        <v>230</v>
      </c>
      <c r="W10" s="8">
        <f t="shared" si="14"/>
        <v>178942.60119898801</v>
      </c>
      <c r="X10" s="20"/>
      <c r="Y10" s="11">
        <f t="shared" ref="Y10:Y36" si="41">Y9</f>
        <v>0.8</v>
      </c>
      <c r="Z10" s="11">
        <f t="shared" ref="Z10:Z36" si="42">Z9</f>
        <v>0.7</v>
      </c>
      <c r="AA10" s="9">
        <f t="shared" si="3"/>
        <v>100207.85667143328</v>
      </c>
      <c r="AB10" s="6">
        <f t="shared" si="4"/>
        <v>1.5E-3</v>
      </c>
      <c r="AC10" s="34">
        <f t="shared" si="5"/>
        <v>30</v>
      </c>
      <c r="AD10" s="4">
        <f t="shared" si="15"/>
        <v>120.31178500714992</v>
      </c>
      <c r="AE10" s="11">
        <f t="shared" si="6"/>
        <v>1</v>
      </c>
      <c r="AF10" s="8">
        <f t="shared" si="16"/>
        <v>120.31178500714992</v>
      </c>
      <c r="AG10" s="9">
        <f t="shared" si="17"/>
        <v>0</v>
      </c>
      <c r="AI10" s="9">
        <f t="shared" si="18"/>
        <v>140.29099934000658</v>
      </c>
      <c r="AJ10" s="11">
        <f t="shared" si="19"/>
        <v>1</v>
      </c>
      <c r="AK10" s="9">
        <f t="shared" si="20"/>
        <v>140.29099934000658</v>
      </c>
      <c r="AL10" s="9">
        <f t="shared" si="21"/>
        <v>0</v>
      </c>
      <c r="AN10" s="9">
        <f t="shared" si="22"/>
        <v>0</v>
      </c>
      <c r="AP10" s="8">
        <f t="shared" si="23"/>
        <v>27289.258500000007</v>
      </c>
      <c r="AQ10" s="8">
        <f t="shared" si="24"/>
        <v>38984.655000000013</v>
      </c>
      <c r="AR10" s="12">
        <f>사업개요!$C$7/사업개요!$C$3</f>
        <v>0</v>
      </c>
      <c r="AS10" s="3">
        <f t="shared" si="25"/>
        <v>1</v>
      </c>
      <c r="AT10" s="10">
        <f t="shared" si="7"/>
        <v>8.0000000000000004E-4</v>
      </c>
      <c r="AU10" s="7">
        <f t="shared" si="8"/>
        <v>7.1000000000000014</v>
      </c>
      <c r="AV10" s="8">
        <f t="shared" si="26"/>
        <v>14.731406800000006</v>
      </c>
      <c r="AW10" s="3">
        <f t="shared" si="9"/>
        <v>1</v>
      </c>
      <c r="AX10" s="8">
        <f t="shared" si="27"/>
        <v>14.731406800000006</v>
      </c>
      <c r="AY10" s="8">
        <f t="shared" si="28"/>
        <v>0</v>
      </c>
      <c r="AZ10" s="8"/>
      <c r="BA10" s="50">
        <f t="shared" si="29"/>
        <v>0</v>
      </c>
      <c r="BB10" s="50">
        <f t="shared" si="30"/>
        <v>18.046767751072487</v>
      </c>
      <c r="BC10" s="8">
        <f t="shared" si="31"/>
        <v>0</v>
      </c>
      <c r="BD10" s="12">
        <f t="shared" si="32"/>
        <v>0</v>
      </c>
      <c r="BE10" s="8">
        <f t="shared" si="33"/>
        <v>0</v>
      </c>
      <c r="BF10" s="8">
        <f t="shared" si="34"/>
        <v>18.046767751072487</v>
      </c>
      <c r="BG10" s="8">
        <f t="shared" si="35"/>
        <v>275.3341911471565</v>
      </c>
      <c r="BH10" s="8">
        <f t="shared" si="36"/>
        <v>133.37762015676751</v>
      </c>
      <c r="BI10" s="8">
        <f t="shared" si="37"/>
        <v>9.3045373577775585</v>
      </c>
      <c r="BK10" s="31">
        <f>BL9</f>
        <v>150000</v>
      </c>
      <c r="BL10" s="31">
        <v>300000</v>
      </c>
      <c r="BM10" s="29">
        <v>2.5000000000000001E-3</v>
      </c>
      <c r="BN10" s="32">
        <v>180</v>
      </c>
      <c r="BO10" s="29">
        <f t="shared" ref="BO10:BO11" si="43">BM10-BM9</f>
        <v>1E-3</v>
      </c>
      <c r="BP10" s="33">
        <f t="shared" ref="BP10:BP11" si="44">BL9*BO10</f>
        <v>150</v>
      </c>
      <c r="BQ10" s="33">
        <f>SUM($BP$9:BP10)</f>
        <v>180</v>
      </c>
    </row>
    <row r="11" spans="1:69">
      <c r="A11" s="261" t="s">
        <v>288</v>
      </c>
      <c r="B11" s="262">
        <v>301</v>
      </c>
      <c r="C11" s="262">
        <v>1</v>
      </c>
      <c r="D11" s="263">
        <v>28.56</v>
      </c>
      <c r="E11" s="263">
        <v>48.87</v>
      </c>
      <c r="F11" s="256">
        <f t="shared" si="10"/>
        <v>2.8797712022879769</v>
      </c>
      <c r="G11" s="246">
        <f t="shared" si="0"/>
        <v>14.540957045968348</v>
      </c>
      <c r="I11" s="171">
        <f t="shared" si="38"/>
        <v>2519</v>
      </c>
      <c r="J11" s="4">
        <f t="shared" si="11"/>
        <v>36628.670798794272</v>
      </c>
      <c r="L11" s="4">
        <f t="shared" si="12"/>
        <v>38778.345000000008</v>
      </c>
      <c r="M11" s="4">
        <f t="shared" si="13"/>
        <v>793.50000000000023</v>
      </c>
      <c r="N11" s="4">
        <f t="shared" si="39"/>
        <v>690</v>
      </c>
      <c r="O11" s="27">
        <f t="shared" si="40"/>
        <v>1</v>
      </c>
      <c r="P11" s="27">
        <f t="shared" si="40"/>
        <v>1</v>
      </c>
      <c r="Q11" s="27">
        <f t="shared" si="1"/>
        <v>1.1500000000000004</v>
      </c>
      <c r="S11" s="8">
        <f t="shared" si="2"/>
        <v>143154.08095919041</v>
      </c>
      <c r="T11" s="8">
        <f>S11*사업개요!$J$20</f>
        <v>114523.26476735233</v>
      </c>
      <c r="U11" s="8">
        <f>ROUND(T11*사업개요!$I$21,-3)</f>
        <v>57000</v>
      </c>
      <c r="V11" s="8">
        <f>ROUND((T11-U11)*사업개요!$I$22/12,0)</f>
        <v>230</v>
      </c>
      <c r="W11" s="8">
        <f t="shared" si="14"/>
        <v>178942.60119898801</v>
      </c>
      <c r="X11" s="20"/>
      <c r="Y11" s="11">
        <f t="shared" si="41"/>
        <v>0.8</v>
      </c>
      <c r="Z11" s="11">
        <f t="shared" si="42"/>
        <v>0.7</v>
      </c>
      <c r="AA11" s="9">
        <f t="shared" si="3"/>
        <v>100207.85667143328</v>
      </c>
      <c r="AB11" s="6">
        <f t="shared" si="4"/>
        <v>1.5E-3</v>
      </c>
      <c r="AC11" s="34">
        <f t="shared" si="5"/>
        <v>30</v>
      </c>
      <c r="AD11" s="4">
        <f t="shared" si="15"/>
        <v>120.31178500714992</v>
      </c>
      <c r="AE11" s="11">
        <f t="shared" si="6"/>
        <v>1</v>
      </c>
      <c r="AF11" s="8">
        <f t="shared" si="16"/>
        <v>120.31178500714992</v>
      </c>
      <c r="AG11" s="9">
        <f t="shared" si="17"/>
        <v>0</v>
      </c>
      <c r="AI11" s="9">
        <f t="shared" si="18"/>
        <v>140.29099934000658</v>
      </c>
      <c r="AJ11" s="11">
        <f t="shared" si="19"/>
        <v>1</v>
      </c>
      <c r="AK11" s="9">
        <f t="shared" si="20"/>
        <v>140.29099934000658</v>
      </c>
      <c r="AL11" s="9">
        <f t="shared" si="21"/>
        <v>0</v>
      </c>
      <c r="AN11" s="9">
        <f t="shared" si="22"/>
        <v>0</v>
      </c>
      <c r="AP11" s="8">
        <f t="shared" si="23"/>
        <v>27144.841500000006</v>
      </c>
      <c r="AQ11" s="8">
        <f t="shared" si="24"/>
        <v>38778.345000000008</v>
      </c>
      <c r="AR11" s="12">
        <f>사업개요!$C$7/사업개요!$C$3</f>
        <v>0</v>
      </c>
      <c r="AS11" s="3">
        <f t="shared" si="25"/>
        <v>1</v>
      </c>
      <c r="AT11" s="10">
        <f t="shared" si="7"/>
        <v>8.0000000000000004E-4</v>
      </c>
      <c r="AU11" s="7">
        <f t="shared" si="8"/>
        <v>7.1000000000000014</v>
      </c>
      <c r="AV11" s="8">
        <f t="shared" si="26"/>
        <v>14.615873200000003</v>
      </c>
      <c r="AW11" s="3">
        <f t="shared" si="9"/>
        <v>1</v>
      </c>
      <c r="AX11" s="8">
        <f t="shared" si="27"/>
        <v>14.615873200000003</v>
      </c>
      <c r="AY11" s="8">
        <f t="shared" si="28"/>
        <v>0</v>
      </c>
      <c r="AZ11" s="8"/>
      <c r="BA11" s="50">
        <f t="shared" si="29"/>
        <v>0</v>
      </c>
      <c r="BB11" s="50">
        <f t="shared" si="30"/>
        <v>18.046767751072487</v>
      </c>
      <c r="BC11" s="8">
        <f t="shared" si="31"/>
        <v>0</v>
      </c>
      <c r="BD11" s="12">
        <f t="shared" si="32"/>
        <v>0</v>
      </c>
      <c r="BE11" s="8">
        <f t="shared" si="33"/>
        <v>0</v>
      </c>
      <c r="BF11" s="8">
        <f t="shared" si="34"/>
        <v>18.046767751072487</v>
      </c>
      <c r="BG11" s="8">
        <f t="shared" si="35"/>
        <v>275.21865754715651</v>
      </c>
      <c r="BH11" s="8">
        <f t="shared" si="36"/>
        <v>133.68641496010613</v>
      </c>
      <c r="BI11" s="8">
        <f t="shared" si="37"/>
        <v>9.2806190322300619</v>
      </c>
      <c r="BK11" s="31">
        <f>BL10</f>
        <v>300000</v>
      </c>
      <c r="BL11" s="31">
        <v>99999999</v>
      </c>
      <c r="BM11" s="29">
        <v>4.0000000000000001E-3</v>
      </c>
      <c r="BN11" s="32">
        <v>630</v>
      </c>
      <c r="BO11" s="29">
        <f t="shared" si="43"/>
        <v>1.5E-3</v>
      </c>
      <c r="BP11" s="33">
        <f t="shared" si="44"/>
        <v>450</v>
      </c>
      <c r="BQ11" s="33">
        <f>SUM($BP$9:BP11)</f>
        <v>630</v>
      </c>
    </row>
    <row r="12" spans="1:69">
      <c r="A12" s="261" t="s">
        <v>288</v>
      </c>
      <c r="B12" s="262">
        <v>302</v>
      </c>
      <c r="C12" s="262">
        <v>1</v>
      </c>
      <c r="D12" s="263">
        <v>28.56</v>
      </c>
      <c r="E12" s="263">
        <v>48.87</v>
      </c>
      <c r="F12" s="256">
        <f t="shared" si="10"/>
        <v>2.8797712022879769</v>
      </c>
      <c r="G12" s="246">
        <f t="shared" si="0"/>
        <v>14.540957045968348</v>
      </c>
      <c r="I12" s="171">
        <f t="shared" si="38"/>
        <v>2519</v>
      </c>
      <c r="J12" s="4">
        <f t="shared" si="11"/>
        <v>36628.670798794272</v>
      </c>
      <c r="L12" s="4">
        <f t="shared" si="12"/>
        <v>38778.345000000008</v>
      </c>
      <c r="M12" s="4">
        <f t="shared" si="13"/>
        <v>793.50000000000023</v>
      </c>
      <c r="N12" s="4">
        <f t="shared" si="39"/>
        <v>690</v>
      </c>
      <c r="O12" s="27">
        <f t="shared" si="40"/>
        <v>1</v>
      </c>
      <c r="P12" s="27">
        <f t="shared" si="40"/>
        <v>1</v>
      </c>
      <c r="Q12" s="27">
        <f t="shared" si="1"/>
        <v>1.1500000000000004</v>
      </c>
      <c r="S12" s="8">
        <f t="shared" si="2"/>
        <v>143154.08095919041</v>
      </c>
      <c r="T12" s="8">
        <f>S12*사업개요!$J$20</f>
        <v>114523.26476735233</v>
      </c>
      <c r="U12" s="8">
        <f>ROUND(T12*사업개요!$I$21,-3)</f>
        <v>57000</v>
      </c>
      <c r="V12" s="8">
        <f>ROUND((T12-U12)*사업개요!$I$22/12,0)</f>
        <v>230</v>
      </c>
      <c r="W12" s="8">
        <f t="shared" si="14"/>
        <v>178942.60119898801</v>
      </c>
      <c r="X12" s="20"/>
      <c r="Y12" s="11">
        <f t="shared" si="41"/>
        <v>0.8</v>
      </c>
      <c r="Z12" s="11">
        <f t="shared" si="42"/>
        <v>0.7</v>
      </c>
      <c r="AA12" s="9">
        <f t="shared" si="3"/>
        <v>100207.85667143328</v>
      </c>
      <c r="AB12" s="6">
        <f t="shared" si="4"/>
        <v>1.5E-3</v>
      </c>
      <c r="AC12" s="34">
        <f t="shared" si="5"/>
        <v>30</v>
      </c>
      <c r="AD12" s="4">
        <f t="shared" si="15"/>
        <v>120.31178500714992</v>
      </c>
      <c r="AE12" s="11">
        <f t="shared" si="6"/>
        <v>1</v>
      </c>
      <c r="AF12" s="8">
        <f t="shared" si="16"/>
        <v>120.31178500714992</v>
      </c>
      <c r="AG12" s="9">
        <f t="shared" si="17"/>
        <v>0</v>
      </c>
      <c r="AI12" s="9">
        <f t="shared" si="18"/>
        <v>140.29099934000658</v>
      </c>
      <c r="AJ12" s="11">
        <f t="shared" si="19"/>
        <v>1</v>
      </c>
      <c r="AK12" s="9">
        <f t="shared" si="20"/>
        <v>140.29099934000658</v>
      </c>
      <c r="AL12" s="9">
        <f t="shared" si="21"/>
        <v>0</v>
      </c>
      <c r="AN12" s="9">
        <f t="shared" si="22"/>
        <v>0</v>
      </c>
      <c r="AP12" s="8">
        <f t="shared" si="23"/>
        <v>27144.841500000006</v>
      </c>
      <c r="AQ12" s="8">
        <f t="shared" si="24"/>
        <v>38778.345000000008</v>
      </c>
      <c r="AR12" s="12">
        <f>사업개요!$C$7/사업개요!$C$3</f>
        <v>0</v>
      </c>
      <c r="AS12" s="3">
        <f t="shared" si="25"/>
        <v>1</v>
      </c>
      <c r="AT12" s="10">
        <f t="shared" si="7"/>
        <v>8.0000000000000004E-4</v>
      </c>
      <c r="AU12" s="7">
        <f t="shared" si="8"/>
        <v>7.1000000000000014</v>
      </c>
      <c r="AV12" s="8">
        <f t="shared" si="26"/>
        <v>14.615873200000003</v>
      </c>
      <c r="AW12" s="3">
        <f t="shared" si="9"/>
        <v>1</v>
      </c>
      <c r="AX12" s="8">
        <f t="shared" si="27"/>
        <v>14.615873200000003</v>
      </c>
      <c r="AY12" s="8">
        <f t="shared" si="28"/>
        <v>0</v>
      </c>
      <c r="AZ12" s="8"/>
      <c r="BA12" s="50">
        <f t="shared" si="29"/>
        <v>0</v>
      </c>
      <c r="BB12" s="50">
        <f t="shared" si="30"/>
        <v>18.046767751072487</v>
      </c>
      <c r="BC12" s="8">
        <f t="shared" si="31"/>
        <v>0</v>
      </c>
      <c r="BD12" s="12">
        <f t="shared" si="32"/>
        <v>0</v>
      </c>
      <c r="BE12" s="8">
        <f t="shared" si="33"/>
        <v>0</v>
      </c>
      <c r="BF12" s="8">
        <f t="shared" si="34"/>
        <v>18.046767751072487</v>
      </c>
      <c r="BG12" s="8">
        <f t="shared" si="35"/>
        <v>275.21865754715651</v>
      </c>
      <c r="BH12" s="8">
        <f t="shared" si="36"/>
        <v>133.68641496010613</v>
      </c>
      <c r="BI12" s="8">
        <f t="shared" si="37"/>
        <v>9.2806190322300619</v>
      </c>
      <c r="BO12" s="8"/>
    </row>
    <row r="13" spans="1:69">
      <c r="A13" s="261" t="s">
        <v>288</v>
      </c>
      <c r="B13" s="262">
        <v>303</v>
      </c>
      <c r="C13" s="262">
        <v>1</v>
      </c>
      <c r="D13" s="263">
        <v>28.56</v>
      </c>
      <c r="E13" s="263">
        <v>48.87</v>
      </c>
      <c r="F13" s="256">
        <f t="shared" si="10"/>
        <v>2.8797712022879769</v>
      </c>
      <c r="G13" s="246">
        <f t="shared" si="0"/>
        <v>14.540957045968348</v>
      </c>
      <c r="I13" s="171">
        <f t="shared" si="38"/>
        <v>2519</v>
      </c>
      <c r="J13" s="4">
        <f t="shared" si="11"/>
        <v>36628.670798794272</v>
      </c>
      <c r="L13" s="4">
        <f t="shared" si="12"/>
        <v>38778.345000000008</v>
      </c>
      <c r="M13" s="4">
        <f t="shared" si="13"/>
        <v>793.50000000000023</v>
      </c>
      <c r="N13" s="4">
        <f t="shared" si="39"/>
        <v>690</v>
      </c>
      <c r="O13" s="27">
        <f t="shared" si="40"/>
        <v>1</v>
      </c>
      <c r="P13" s="27">
        <f t="shared" si="40"/>
        <v>1</v>
      </c>
      <c r="Q13" s="27">
        <f t="shared" si="1"/>
        <v>1.1500000000000004</v>
      </c>
      <c r="S13" s="8">
        <f t="shared" si="2"/>
        <v>143154.08095919041</v>
      </c>
      <c r="T13" s="8">
        <f>S13*사업개요!$J$20</f>
        <v>114523.26476735233</v>
      </c>
      <c r="U13" s="8">
        <f>ROUND(T13*사업개요!$I$21,-3)</f>
        <v>57000</v>
      </c>
      <c r="V13" s="8">
        <f>ROUND((T13-U13)*사업개요!$I$22/12,0)</f>
        <v>230</v>
      </c>
      <c r="W13" s="8">
        <f t="shared" si="14"/>
        <v>178942.60119898801</v>
      </c>
      <c r="X13" s="20"/>
      <c r="Y13" s="11">
        <f t="shared" si="41"/>
        <v>0.8</v>
      </c>
      <c r="Z13" s="11">
        <f t="shared" si="42"/>
        <v>0.7</v>
      </c>
      <c r="AA13" s="9">
        <f t="shared" si="3"/>
        <v>100207.85667143328</v>
      </c>
      <c r="AB13" s="6">
        <f t="shared" si="4"/>
        <v>1.5E-3</v>
      </c>
      <c r="AC13" s="34">
        <f t="shared" si="5"/>
        <v>30</v>
      </c>
      <c r="AD13" s="4">
        <f t="shared" si="15"/>
        <v>120.31178500714992</v>
      </c>
      <c r="AE13" s="11">
        <f t="shared" si="6"/>
        <v>1</v>
      </c>
      <c r="AF13" s="8">
        <f t="shared" si="16"/>
        <v>120.31178500714992</v>
      </c>
      <c r="AG13" s="9">
        <f t="shared" si="17"/>
        <v>0</v>
      </c>
      <c r="AI13" s="9">
        <f t="shared" si="18"/>
        <v>140.29099934000658</v>
      </c>
      <c r="AJ13" s="11">
        <f t="shared" si="19"/>
        <v>1</v>
      </c>
      <c r="AK13" s="9">
        <f t="shared" si="20"/>
        <v>140.29099934000658</v>
      </c>
      <c r="AL13" s="9">
        <f t="shared" si="21"/>
        <v>0</v>
      </c>
      <c r="AN13" s="9">
        <f t="shared" si="22"/>
        <v>0</v>
      </c>
      <c r="AP13" s="8">
        <f t="shared" si="23"/>
        <v>27144.841500000006</v>
      </c>
      <c r="AQ13" s="8">
        <f t="shared" si="24"/>
        <v>38778.345000000008</v>
      </c>
      <c r="AR13" s="12">
        <f>사업개요!$C$7/사업개요!$C$3</f>
        <v>0</v>
      </c>
      <c r="AS13" s="3">
        <f t="shared" si="25"/>
        <v>1</v>
      </c>
      <c r="AT13" s="10">
        <f t="shared" si="7"/>
        <v>8.0000000000000004E-4</v>
      </c>
      <c r="AU13" s="7">
        <f t="shared" si="8"/>
        <v>7.1000000000000014</v>
      </c>
      <c r="AV13" s="8">
        <f t="shared" si="26"/>
        <v>14.615873200000003</v>
      </c>
      <c r="AW13" s="3">
        <f t="shared" si="9"/>
        <v>1</v>
      </c>
      <c r="AX13" s="8">
        <f t="shared" si="27"/>
        <v>14.615873200000003</v>
      </c>
      <c r="AY13" s="8">
        <f t="shared" si="28"/>
        <v>0</v>
      </c>
      <c r="AZ13" s="8"/>
      <c r="BA13" s="50">
        <f t="shared" si="29"/>
        <v>0</v>
      </c>
      <c r="BB13" s="50">
        <f t="shared" si="30"/>
        <v>18.046767751072487</v>
      </c>
      <c r="BC13" s="8">
        <f t="shared" si="31"/>
        <v>0</v>
      </c>
      <c r="BD13" s="12">
        <f t="shared" si="32"/>
        <v>0</v>
      </c>
      <c r="BE13" s="8">
        <f t="shared" si="33"/>
        <v>0</v>
      </c>
      <c r="BF13" s="8">
        <f t="shared" si="34"/>
        <v>18.046767751072487</v>
      </c>
      <c r="BG13" s="8">
        <f t="shared" si="35"/>
        <v>275.21865754715651</v>
      </c>
      <c r="BH13" s="8">
        <f t="shared" si="36"/>
        <v>133.68641496010613</v>
      </c>
      <c r="BI13" s="8">
        <f t="shared" si="37"/>
        <v>9.2806190322300619</v>
      </c>
      <c r="BK13" s="7" t="s">
        <v>60</v>
      </c>
    </row>
    <row r="14" spans="1:69">
      <c r="A14" s="261" t="s">
        <v>289</v>
      </c>
      <c r="B14" s="262">
        <v>304</v>
      </c>
      <c r="C14" s="262">
        <v>1</v>
      </c>
      <c r="D14" s="263">
        <v>28.32</v>
      </c>
      <c r="E14" s="263">
        <v>48.48</v>
      </c>
      <c r="F14" s="256">
        <f t="shared" si="10"/>
        <v>2.8555714442855571</v>
      </c>
      <c r="G14" s="246">
        <f t="shared" si="0"/>
        <v>14.418764129615674</v>
      </c>
      <c r="I14" s="171">
        <f t="shared" si="38"/>
        <v>2519</v>
      </c>
      <c r="J14" s="4">
        <f t="shared" si="11"/>
        <v>36320.866842501884</v>
      </c>
      <c r="L14" s="4">
        <f t="shared" si="12"/>
        <v>38468.880000000012</v>
      </c>
      <c r="M14" s="4">
        <f t="shared" si="13"/>
        <v>793.50000000000023</v>
      </c>
      <c r="N14" s="4">
        <f t="shared" si="39"/>
        <v>690</v>
      </c>
      <c r="O14" s="27">
        <f t="shared" si="40"/>
        <v>1</v>
      </c>
      <c r="P14" s="27">
        <f t="shared" si="40"/>
        <v>1</v>
      </c>
      <c r="Q14" s="27">
        <f t="shared" si="1"/>
        <v>1.1500000000000004</v>
      </c>
      <c r="S14" s="8">
        <f t="shared" si="2"/>
        <v>141951.10548894509</v>
      </c>
      <c r="T14" s="8">
        <f>S14*사업개요!$J$20</f>
        <v>113560.88439115608</v>
      </c>
      <c r="U14" s="8">
        <f>ROUND(T14*사업개요!$I$21,-3)</f>
        <v>57000</v>
      </c>
      <c r="V14" s="8">
        <f>ROUND((T14-U14)*사업개요!$I$22/12,0)</f>
        <v>226</v>
      </c>
      <c r="W14" s="8">
        <f t="shared" si="14"/>
        <v>177438.88186118135</v>
      </c>
      <c r="X14" s="20"/>
      <c r="Y14" s="11">
        <f t="shared" si="41"/>
        <v>0.8</v>
      </c>
      <c r="Z14" s="11">
        <f t="shared" si="42"/>
        <v>0.7</v>
      </c>
      <c r="AA14" s="9">
        <f t="shared" si="3"/>
        <v>99365.773842261551</v>
      </c>
      <c r="AB14" s="6">
        <f t="shared" si="4"/>
        <v>1.5E-3</v>
      </c>
      <c r="AC14" s="34">
        <f t="shared" si="5"/>
        <v>30</v>
      </c>
      <c r="AD14" s="4">
        <f t="shared" si="15"/>
        <v>119.04866076339232</v>
      </c>
      <c r="AE14" s="11">
        <f t="shared" si="6"/>
        <v>1</v>
      </c>
      <c r="AF14" s="8">
        <f t="shared" si="16"/>
        <v>119.04866076339232</v>
      </c>
      <c r="AG14" s="9">
        <f t="shared" si="17"/>
        <v>0</v>
      </c>
      <c r="AI14" s="9">
        <f t="shared" si="18"/>
        <v>139.11208337916617</v>
      </c>
      <c r="AJ14" s="11">
        <f t="shared" si="19"/>
        <v>1</v>
      </c>
      <c r="AK14" s="9">
        <f t="shared" si="20"/>
        <v>139.11208337916617</v>
      </c>
      <c r="AL14" s="9">
        <f t="shared" si="21"/>
        <v>0</v>
      </c>
      <c r="AN14" s="9">
        <f t="shared" si="22"/>
        <v>0</v>
      </c>
      <c r="AP14" s="8">
        <f t="shared" si="23"/>
        <v>26928.216000000008</v>
      </c>
      <c r="AQ14" s="8">
        <f t="shared" si="24"/>
        <v>38468.880000000012</v>
      </c>
      <c r="AR14" s="12">
        <f>사업개요!$C$7/사업개요!$C$3</f>
        <v>0</v>
      </c>
      <c r="AS14" s="3">
        <f t="shared" si="25"/>
        <v>1</v>
      </c>
      <c r="AT14" s="10">
        <f t="shared" si="7"/>
        <v>8.0000000000000004E-4</v>
      </c>
      <c r="AU14" s="7">
        <f t="shared" si="8"/>
        <v>7.1000000000000014</v>
      </c>
      <c r="AV14" s="8">
        <f t="shared" si="26"/>
        <v>14.442572800000004</v>
      </c>
      <c r="AW14" s="3">
        <f t="shared" si="9"/>
        <v>1</v>
      </c>
      <c r="AX14" s="8">
        <f t="shared" si="27"/>
        <v>14.442572800000004</v>
      </c>
      <c r="AY14" s="8">
        <f t="shared" si="28"/>
        <v>0</v>
      </c>
      <c r="AZ14" s="8"/>
      <c r="BA14" s="50">
        <f t="shared" si="29"/>
        <v>0</v>
      </c>
      <c r="BB14" s="50">
        <f t="shared" si="30"/>
        <v>17.857299114508848</v>
      </c>
      <c r="BC14" s="8">
        <f t="shared" si="31"/>
        <v>0</v>
      </c>
      <c r="BD14" s="12">
        <f t="shared" si="32"/>
        <v>0</v>
      </c>
      <c r="BE14" s="8">
        <f t="shared" si="33"/>
        <v>0</v>
      </c>
      <c r="BF14" s="8">
        <f t="shared" si="34"/>
        <v>17.857299114508848</v>
      </c>
      <c r="BG14" s="8">
        <f t="shared" si="35"/>
        <v>272.60331694255848</v>
      </c>
      <c r="BH14" s="8">
        <f t="shared" si="36"/>
        <v>132.38698074945626</v>
      </c>
      <c r="BI14" s="8">
        <f t="shared" si="37"/>
        <v>9.1850865360833627</v>
      </c>
      <c r="BK14" s="35" t="s">
        <v>50</v>
      </c>
      <c r="BL14" s="35" t="s">
        <v>51</v>
      </c>
      <c r="BM14" s="35" t="s">
        <v>52</v>
      </c>
      <c r="BN14" s="35" t="s">
        <v>53</v>
      </c>
      <c r="BO14" s="35" t="s">
        <v>54</v>
      </c>
      <c r="BP14" s="35" t="s">
        <v>55</v>
      </c>
      <c r="BQ14" s="35" t="s">
        <v>53</v>
      </c>
    </row>
    <row r="15" spans="1:69">
      <c r="A15" s="261" t="s">
        <v>289</v>
      </c>
      <c r="B15" s="262">
        <v>305</v>
      </c>
      <c r="C15" s="262">
        <v>1</v>
      </c>
      <c r="D15" s="263">
        <v>28.32</v>
      </c>
      <c r="E15" s="263">
        <v>48.48</v>
      </c>
      <c r="F15" s="256">
        <f t="shared" si="10"/>
        <v>2.8555714442855571</v>
      </c>
      <c r="G15" s="246">
        <f t="shared" si="0"/>
        <v>14.418764129615674</v>
      </c>
      <c r="H15" s="129"/>
      <c r="I15" s="171">
        <f t="shared" si="38"/>
        <v>2519</v>
      </c>
      <c r="J15" s="172">
        <f t="shared" si="11"/>
        <v>36320.866842501884</v>
      </c>
      <c r="K15" s="129"/>
      <c r="L15" s="172">
        <f t="shared" si="12"/>
        <v>38468.880000000012</v>
      </c>
      <c r="M15" s="172">
        <f t="shared" si="13"/>
        <v>793.50000000000023</v>
      </c>
      <c r="N15" s="4">
        <f t="shared" si="39"/>
        <v>690</v>
      </c>
      <c r="O15" s="173">
        <f t="shared" si="40"/>
        <v>1</v>
      </c>
      <c r="P15" s="173">
        <f t="shared" si="40"/>
        <v>1</v>
      </c>
      <c r="Q15" s="173">
        <f t="shared" si="1"/>
        <v>1.1500000000000004</v>
      </c>
      <c r="R15" s="129"/>
      <c r="S15" s="138">
        <f t="shared" si="2"/>
        <v>141951.10548894509</v>
      </c>
      <c r="T15" s="138">
        <f>S15*사업개요!$J$20</f>
        <v>113560.88439115608</v>
      </c>
      <c r="U15" s="138">
        <f>ROUND(T15*사업개요!$I$21,-3)</f>
        <v>57000</v>
      </c>
      <c r="V15" s="138">
        <f>ROUND((T15-U15)*사업개요!$I$22/12,0)</f>
        <v>226</v>
      </c>
      <c r="W15" s="138">
        <f t="shared" si="14"/>
        <v>177438.88186118135</v>
      </c>
      <c r="X15" s="130"/>
      <c r="Y15" s="11">
        <f t="shared" si="41"/>
        <v>0.8</v>
      </c>
      <c r="Z15" s="11">
        <f t="shared" si="42"/>
        <v>0.7</v>
      </c>
      <c r="AA15" s="265">
        <f t="shared" si="3"/>
        <v>99365.773842261551</v>
      </c>
      <c r="AB15" s="266">
        <f t="shared" si="4"/>
        <v>1.5E-3</v>
      </c>
      <c r="AC15" s="267">
        <f t="shared" si="5"/>
        <v>30</v>
      </c>
      <c r="AD15" s="172">
        <f t="shared" si="15"/>
        <v>119.04866076339232</v>
      </c>
      <c r="AE15" s="264">
        <f t="shared" si="6"/>
        <v>1</v>
      </c>
      <c r="AF15" s="138">
        <f t="shared" si="16"/>
        <v>119.04866076339232</v>
      </c>
      <c r="AG15" s="265">
        <f t="shared" si="17"/>
        <v>0</v>
      </c>
      <c r="AH15" s="129"/>
      <c r="AI15" s="265">
        <f t="shared" si="18"/>
        <v>139.11208337916617</v>
      </c>
      <c r="AJ15" s="264">
        <f t="shared" si="19"/>
        <v>1</v>
      </c>
      <c r="AK15" s="265">
        <f t="shared" si="20"/>
        <v>139.11208337916617</v>
      </c>
      <c r="AL15" s="265">
        <f t="shared" si="21"/>
        <v>0</v>
      </c>
      <c r="AM15" s="129"/>
      <c r="AN15" s="265">
        <f t="shared" si="22"/>
        <v>0</v>
      </c>
      <c r="AO15" s="129"/>
      <c r="AP15" s="138">
        <f t="shared" si="23"/>
        <v>26928.216000000008</v>
      </c>
      <c r="AQ15" s="138">
        <f t="shared" si="24"/>
        <v>38468.880000000012</v>
      </c>
      <c r="AR15" s="268">
        <f>사업개요!$C$7/사업개요!$C$3</f>
        <v>0</v>
      </c>
      <c r="AS15" s="269">
        <f t="shared" si="25"/>
        <v>1</v>
      </c>
      <c r="AT15" s="270">
        <f t="shared" si="7"/>
        <v>8.0000000000000004E-4</v>
      </c>
      <c r="AU15" s="271">
        <f t="shared" si="8"/>
        <v>7.1000000000000014</v>
      </c>
      <c r="AV15" s="138">
        <f t="shared" si="26"/>
        <v>14.442572800000004</v>
      </c>
      <c r="AW15" s="269">
        <f t="shared" si="9"/>
        <v>1</v>
      </c>
      <c r="AX15" s="138">
        <f t="shared" si="27"/>
        <v>14.442572800000004</v>
      </c>
      <c r="AY15" s="138">
        <f t="shared" si="28"/>
        <v>0</v>
      </c>
      <c r="AZ15" s="138"/>
      <c r="BA15" s="272">
        <f t="shared" si="29"/>
        <v>0</v>
      </c>
      <c r="BB15" s="272">
        <f t="shared" si="30"/>
        <v>17.857299114508848</v>
      </c>
      <c r="BC15" s="138">
        <f t="shared" si="31"/>
        <v>0</v>
      </c>
      <c r="BD15" s="268">
        <f t="shared" si="32"/>
        <v>0</v>
      </c>
      <c r="BE15" s="138">
        <f t="shared" si="33"/>
        <v>0</v>
      </c>
      <c r="BF15" s="138">
        <f t="shared" si="34"/>
        <v>17.857299114508848</v>
      </c>
      <c r="BG15" s="138">
        <f t="shared" si="35"/>
        <v>272.60331694255848</v>
      </c>
      <c r="BH15" s="138">
        <f t="shared" si="36"/>
        <v>132.38698074945626</v>
      </c>
      <c r="BI15" s="138">
        <f t="shared" si="37"/>
        <v>9.1850865360833627</v>
      </c>
      <c r="BK15" s="31"/>
      <c r="BL15" s="31">
        <v>6000</v>
      </c>
      <c r="BM15" s="29">
        <v>4.0000000000000002E-4</v>
      </c>
      <c r="BN15" s="32"/>
      <c r="BO15" s="29"/>
      <c r="BP15" s="30"/>
      <c r="BQ15" s="30"/>
    </row>
    <row r="16" spans="1:69">
      <c r="A16" s="261" t="s">
        <v>289</v>
      </c>
      <c r="B16" s="262">
        <v>306</v>
      </c>
      <c r="C16" s="262">
        <v>1</v>
      </c>
      <c r="D16" s="263">
        <v>28.32</v>
      </c>
      <c r="E16" s="263">
        <v>48.48</v>
      </c>
      <c r="F16" s="256">
        <f t="shared" si="10"/>
        <v>2.8555714442855571</v>
      </c>
      <c r="G16" s="246">
        <f t="shared" si="0"/>
        <v>14.418764129615674</v>
      </c>
      <c r="H16" s="129"/>
      <c r="I16" s="171">
        <f t="shared" si="38"/>
        <v>2519</v>
      </c>
      <c r="J16" s="172">
        <f t="shared" si="11"/>
        <v>36320.866842501884</v>
      </c>
      <c r="K16" s="129"/>
      <c r="L16" s="172">
        <f t="shared" si="12"/>
        <v>38468.880000000012</v>
      </c>
      <c r="M16" s="172">
        <f t="shared" si="13"/>
        <v>793.50000000000023</v>
      </c>
      <c r="N16" s="4">
        <f t="shared" si="39"/>
        <v>690</v>
      </c>
      <c r="O16" s="173">
        <f t="shared" si="40"/>
        <v>1</v>
      </c>
      <c r="P16" s="173">
        <f t="shared" si="40"/>
        <v>1</v>
      </c>
      <c r="Q16" s="173">
        <f t="shared" si="1"/>
        <v>1.1500000000000004</v>
      </c>
      <c r="R16" s="129"/>
      <c r="S16" s="138">
        <f t="shared" si="2"/>
        <v>141951.10548894509</v>
      </c>
      <c r="T16" s="138">
        <f>S16*사업개요!$J$20</f>
        <v>113560.88439115608</v>
      </c>
      <c r="U16" s="138">
        <f>ROUND(T16*사업개요!$I$21,-3)</f>
        <v>57000</v>
      </c>
      <c r="V16" s="138">
        <f>ROUND((T16-U16)*사업개요!$I$22/12,0)</f>
        <v>226</v>
      </c>
      <c r="W16" s="138">
        <f t="shared" si="14"/>
        <v>177438.88186118135</v>
      </c>
      <c r="X16" s="130"/>
      <c r="Y16" s="11">
        <f t="shared" si="41"/>
        <v>0.8</v>
      </c>
      <c r="Z16" s="11">
        <f t="shared" si="42"/>
        <v>0.7</v>
      </c>
      <c r="AA16" s="265">
        <f t="shared" si="3"/>
        <v>99365.773842261551</v>
      </c>
      <c r="AB16" s="266">
        <f t="shared" si="4"/>
        <v>1.5E-3</v>
      </c>
      <c r="AC16" s="267">
        <f t="shared" si="5"/>
        <v>30</v>
      </c>
      <c r="AD16" s="172">
        <f t="shared" si="15"/>
        <v>119.04866076339232</v>
      </c>
      <c r="AE16" s="264">
        <f t="shared" si="6"/>
        <v>1</v>
      </c>
      <c r="AF16" s="138">
        <f t="shared" si="16"/>
        <v>119.04866076339232</v>
      </c>
      <c r="AG16" s="265">
        <f t="shared" si="17"/>
        <v>0</v>
      </c>
      <c r="AH16" s="129"/>
      <c r="AI16" s="265">
        <f t="shared" si="18"/>
        <v>139.11208337916617</v>
      </c>
      <c r="AJ16" s="264">
        <f t="shared" si="19"/>
        <v>1</v>
      </c>
      <c r="AK16" s="265">
        <f t="shared" si="20"/>
        <v>139.11208337916617</v>
      </c>
      <c r="AL16" s="265">
        <f t="shared" si="21"/>
        <v>0</v>
      </c>
      <c r="AM16" s="129"/>
      <c r="AN16" s="265">
        <f t="shared" si="22"/>
        <v>0</v>
      </c>
      <c r="AO16" s="129"/>
      <c r="AP16" s="138">
        <f t="shared" si="23"/>
        <v>26928.216000000008</v>
      </c>
      <c r="AQ16" s="138">
        <f t="shared" si="24"/>
        <v>38468.880000000012</v>
      </c>
      <c r="AR16" s="268">
        <f>사업개요!$C$7/사업개요!$C$3</f>
        <v>0</v>
      </c>
      <c r="AS16" s="269">
        <f t="shared" si="25"/>
        <v>1</v>
      </c>
      <c r="AT16" s="270">
        <f t="shared" si="7"/>
        <v>8.0000000000000004E-4</v>
      </c>
      <c r="AU16" s="271">
        <f t="shared" si="8"/>
        <v>7.1000000000000014</v>
      </c>
      <c r="AV16" s="138">
        <f t="shared" si="26"/>
        <v>14.442572800000004</v>
      </c>
      <c r="AW16" s="269">
        <f t="shared" si="9"/>
        <v>1</v>
      </c>
      <c r="AX16" s="138">
        <f t="shared" si="27"/>
        <v>14.442572800000004</v>
      </c>
      <c r="AY16" s="138">
        <f t="shared" si="28"/>
        <v>0</v>
      </c>
      <c r="AZ16" s="138"/>
      <c r="BA16" s="272">
        <f t="shared" si="29"/>
        <v>0</v>
      </c>
      <c r="BB16" s="272">
        <f t="shared" si="30"/>
        <v>17.857299114508848</v>
      </c>
      <c r="BC16" s="138">
        <f t="shared" si="31"/>
        <v>0</v>
      </c>
      <c r="BD16" s="268">
        <f t="shared" si="32"/>
        <v>0</v>
      </c>
      <c r="BE16" s="138">
        <f t="shared" si="33"/>
        <v>0</v>
      </c>
      <c r="BF16" s="138">
        <f t="shared" si="34"/>
        <v>17.857299114508848</v>
      </c>
      <c r="BG16" s="138">
        <f t="shared" si="35"/>
        <v>272.60331694255848</v>
      </c>
      <c r="BH16" s="138">
        <f t="shared" si="36"/>
        <v>132.38698074945626</v>
      </c>
      <c r="BI16" s="138">
        <f t="shared" si="37"/>
        <v>9.1850865360833627</v>
      </c>
      <c r="BK16" s="31">
        <f>BL15</f>
        <v>6000</v>
      </c>
      <c r="BL16" s="31">
        <v>13000</v>
      </c>
      <c r="BM16" s="29">
        <v>5.0000000000000001E-4</v>
      </c>
      <c r="BN16" s="32">
        <v>0.6</v>
      </c>
      <c r="BO16" s="29">
        <v>9.9999999999999991E-5</v>
      </c>
      <c r="BP16" s="33">
        <v>0.6</v>
      </c>
      <c r="BQ16" s="33">
        <v>0.6</v>
      </c>
    </row>
    <row r="17" spans="1:69">
      <c r="A17" s="261" t="s">
        <v>289</v>
      </c>
      <c r="B17" s="262">
        <v>307</v>
      </c>
      <c r="C17" s="262">
        <v>1</v>
      </c>
      <c r="D17" s="263">
        <v>28.32</v>
      </c>
      <c r="E17" s="263">
        <v>48.48</v>
      </c>
      <c r="F17" s="256">
        <f t="shared" si="10"/>
        <v>2.8555714442855571</v>
      </c>
      <c r="G17" s="246">
        <f t="shared" si="0"/>
        <v>14.418764129615674</v>
      </c>
      <c r="H17" s="129"/>
      <c r="I17" s="171">
        <f t="shared" si="38"/>
        <v>2519</v>
      </c>
      <c r="J17" s="172">
        <f t="shared" si="11"/>
        <v>36320.866842501884</v>
      </c>
      <c r="K17" s="129"/>
      <c r="L17" s="172">
        <f t="shared" si="12"/>
        <v>38468.880000000012</v>
      </c>
      <c r="M17" s="172">
        <f t="shared" si="13"/>
        <v>793.50000000000023</v>
      </c>
      <c r="N17" s="4">
        <f t="shared" si="39"/>
        <v>690</v>
      </c>
      <c r="O17" s="173">
        <f t="shared" si="40"/>
        <v>1</v>
      </c>
      <c r="P17" s="173">
        <f t="shared" si="40"/>
        <v>1</v>
      </c>
      <c r="Q17" s="173">
        <f t="shared" si="1"/>
        <v>1.1500000000000004</v>
      </c>
      <c r="R17" s="129"/>
      <c r="S17" s="138">
        <f t="shared" si="2"/>
        <v>141951.10548894509</v>
      </c>
      <c r="T17" s="138">
        <f>S17*사업개요!$J$20</f>
        <v>113560.88439115608</v>
      </c>
      <c r="U17" s="138">
        <f>ROUND(T17*사업개요!$I$21,-3)</f>
        <v>57000</v>
      </c>
      <c r="V17" s="138">
        <f>ROUND((T17-U17)*사업개요!$I$22/12,0)</f>
        <v>226</v>
      </c>
      <c r="W17" s="138">
        <f t="shared" si="14"/>
        <v>177438.88186118135</v>
      </c>
      <c r="X17" s="130"/>
      <c r="Y17" s="11">
        <f t="shared" si="41"/>
        <v>0.8</v>
      </c>
      <c r="Z17" s="11">
        <f t="shared" si="42"/>
        <v>0.7</v>
      </c>
      <c r="AA17" s="265">
        <f t="shared" si="3"/>
        <v>99365.773842261551</v>
      </c>
      <c r="AB17" s="266">
        <f t="shared" si="4"/>
        <v>1.5E-3</v>
      </c>
      <c r="AC17" s="267">
        <f t="shared" si="5"/>
        <v>30</v>
      </c>
      <c r="AD17" s="172">
        <f t="shared" si="15"/>
        <v>119.04866076339232</v>
      </c>
      <c r="AE17" s="264">
        <f t="shared" si="6"/>
        <v>1</v>
      </c>
      <c r="AF17" s="138">
        <f t="shared" si="16"/>
        <v>119.04866076339232</v>
      </c>
      <c r="AG17" s="265">
        <f t="shared" si="17"/>
        <v>0</v>
      </c>
      <c r="AH17" s="129"/>
      <c r="AI17" s="265">
        <f t="shared" si="18"/>
        <v>139.11208337916617</v>
      </c>
      <c r="AJ17" s="264">
        <f t="shared" si="19"/>
        <v>1</v>
      </c>
      <c r="AK17" s="265">
        <f t="shared" si="20"/>
        <v>139.11208337916617</v>
      </c>
      <c r="AL17" s="265">
        <f t="shared" si="21"/>
        <v>0</v>
      </c>
      <c r="AM17" s="129"/>
      <c r="AN17" s="265">
        <f t="shared" si="22"/>
        <v>0</v>
      </c>
      <c r="AO17" s="129"/>
      <c r="AP17" s="138">
        <f t="shared" si="23"/>
        <v>26928.216000000008</v>
      </c>
      <c r="AQ17" s="138">
        <f t="shared" si="24"/>
        <v>38468.880000000012</v>
      </c>
      <c r="AR17" s="268">
        <f>사업개요!$C$7/사업개요!$C$3</f>
        <v>0</v>
      </c>
      <c r="AS17" s="269">
        <f t="shared" si="25"/>
        <v>1</v>
      </c>
      <c r="AT17" s="270">
        <f t="shared" si="7"/>
        <v>8.0000000000000004E-4</v>
      </c>
      <c r="AU17" s="271">
        <f t="shared" si="8"/>
        <v>7.1000000000000014</v>
      </c>
      <c r="AV17" s="138">
        <f t="shared" si="26"/>
        <v>14.442572800000004</v>
      </c>
      <c r="AW17" s="269">
        <f t="shared" si="9"/>
        <v>1</v>
      </c>
      <c r="AX17" s="138">
        <f t="shared" si="27"/>
        <v>14.442572800000004</v>
      </c>
      <c r="AY17" s="138">
        <f t="shared" si="28"/>
        <v>0</v>
      </c>
      <c r="AZ17" s="138"/>
      <c r="BA17" s="272">
        <f t="shared" si="29"/>
        <v>0</v>
      </c>
      <c r="BB17" s="272">
        <f t="shared" si="30"/>
        <v>17.857299114508848</v>
      </c>
      <c r="BC17" s="138">
        <f t="shared" si="31"/>
        <v>0</v>
      </c>
      <c r="BD17" s="268">
        <f t="shared" si="32"/>
        <v>0</v>
      </c>
      <c r="BE17" s="138">
        <f t="shared" si="33"/>
        <v>0</v>
      </c>
      <c r="BF17" s="138">
        <f t="shared" si="34"/>
        <v>17.857299114508848</v>
      </c>
      <c r="BG17" s="138">
        <f t="shared" si="35"/>
        <v>272.60331694255848</v>
      </c>
      <c r="BH17" s="138">
        <f t="shared" si="36"/>
        <v>132.38698074945626</v>
      </c>
      <c r="BI17" s="138">
        <f t="shared" si="37"/>
        <v>9.1850865360833627</v>
      </c>
      <c r="BK17" s="31">
        <f>BL16</f>
        <v>13000</v>
      </c>
      <c r="BL17" s="31">
        <v>26000</v>
      </c>
      <c r="BM17" s="29">
        <v>5.9999999999999995E-4</v>
      </c>
      <c r="BN17" s="32">
        <v>1.899999999999999</v>
      </c>
      <c r="BO17" s="29">
        <v>9.9999999999999937E-5</v>
      </c>
      <c r="BP17" s="33">
        <v>1.2999999999999992</v>
      </c>
      <c r="BQ17" s="33">
        <v>1.899999999999999</v>
      </c>
    </row>
    <row r="18" spans="1:69">
      <c r="A18" s="261" t="s">
        <v>288</v>
      </c>
      <c r="B18" s="262">
        <v>401</v>
      </c>
      <c r="C18" s="262">
        <v>1</v>
      </c>
      <c r="D18" s="263">
        <v>28.56</v>
      </c>
      <c r="E18" s="263">
        <v>48.87</v>
      </c>
      <c r="F18" s="256">
        <f t="shared" si="10"/>
        <v>2.8797712022879769</v>
      </c>
      <c r="G18" s="246">
        <f t="shared" si="0"/>
        <v>14.540957045968348</v>
      </c>
      <c r="H18" s="129"/>
      <c r="I18" s="171">
        <f t="shared" si="38"/>
        <v>2519</v>
      </c>
      <c r="J18" s="172">
        <f t="shared" si="11"/>
        <v>36628.670798794272</v>
      </c>
      <c r="K18" s="129"/>
      <c r="L18" s="172">
        <f t="shared" si="12"/>
        <v>38778.345000000008</v>
      </c>
      <c r="M18" s="172">
        <f t="shared" si="13"/>
        <v>793.50000000000023</v>
      </c>
      <c r="N18" s="4">
        <f t="shared" si="39"/>
        <v>690</v>
      </c>
      <c r="O18" s="173">
        <f t="shared" si="40"/>
        <v>1</v>
      </c>
      <c r="P18" s="173">
        <f t="shared" si="40"/>
        <v>1</v>
      </c>
      <c r="Q18" s="173">
        <f t="shared" si="1"/>
        <v>1.1500000000000004</v>
      </c>
      <c r="R18" s="129"/>
      <c r="S18" s="138">
        <f t="shared" si="2"/>
        <v>143154.08095919041</v>
      </c>
      <c r="T18" s="138">
        <f>S18*사업개요!$J$20</f>
        <v>114523.26476735233</v>
      </c>
      <c r="U18" s="138">
        <f>ROUND(T18*사업개요!$I$21,-3)</f>
        <v>57000</v>
      </c>
      <c r="V18" s="138">
        <f>ROUND((T18-U18)*사업개요!$I$22/12,0)</f>
        <v>230</v>
      </c>
      <c r="W18" s="138">
        <f t="shared" si="14"/>
        <v>178942.60119898801</v>
      </c>
      <c r="X18" s="130"/>
      <c r="Y18" s="11">
        <f t="shared" si="41"/>
        <v>0.8</v>
      </c>
      <c r="Z18" s="11">
        <f t="shared" si="42"/>
        <v>0.7</v>
      </c>
      <c r="AA18" s="265">
        <f t="shared" si="3"/>
        <v>100207.85667143328</v>
      </c>
      <c r="AB18" s="266">
        <f t="shared" si="4"/>
        <v>1.5E-3</v>
      </c>
      <c r="AC18" s="267">
        <f t="shared" si="5"/>
        <v>30</v>
      </c>
      <c r="AD18" s="172">
        <f t="shared" si="15"/>
        <v>120.31178500714992</v>
      </c>
      <c r="AE18" s="264">
        <f t="shared" si="6"/>
        <v>1</v>
      </c>
      <c r="AF18" s="138">
        <f t="shared" si="16"/>
        <v>120.31178500714992</v>
      </c>
      <c r="AG18" s="265">
        <f t="shared" si="17"/>
        <v>0</v>
      </c>
      <c r="AH18" s="129"/>
      <c r="AI18" s="265">
        <f t="shared" si="18"/>
        <v>140.29099934000658</v>
      </c>
      <c r="AJ18" s="264">
        <f t="shared" si="19"/>
        <v>1</v>
      </c>
      <c r="AK18" s="265">
        <f t="shared" si="20"/>
        <v>140.29099934000658</v>
      </c>
      <c r="AL18" s="265">
        <f t="shared" si="21"/>
        <v>0</v>
      </c>
      <c r="AM18" s="129"/>
      <c r="AN18" s="265">
        <f t="shared" si="22"/>
        <v>0</v>
      </c>
      <c r="AO18" s="129"/>
      <c r="AP18" s="138">
        <f t="shared" si="23"/>
        <v>27144.841500000006</v>
      </c>
      <c r="AQ18" s="138">
        <f t="shared" si="24"/>
        <v>38778.345000000008</v>
      </c>
      <c r="AR18" s="268">
        <f>사업개요!$C$7/사업개요!$C$3</f>
        <v>0</v>
      </c>
      <c r="AS18" s="269">
        <f t="shared" si="25"/>
        <v>1</v>
      </c>
      <c r="AT18" s="270">
        <f t="shared" si="7"/>
        <v>8.0000000000000004E-4</v>
      </c>
      <c r="AU18" s="271">
        <f t="shared" si="8"/>
        <v>7.1000000000000014</v>
      </c>
      <c r="AV18" s="138">
        <f t="shared" si="26"/>
        <v>14.615873200000003</v>
      </c>
      <c r="AW18" s="269">
        <f t="shared" si="9"/>
        <v>1</v>
      </c>
      <c r="AX18" s="138">
        <f t="shared" si="27"/>
        <v>14.615873200000003</v>
      </c>
      <c r="AY18" s="138">
        <f t="shared" si="28"/>
        <v>0</v>
      </c>
      <c r="AZ18" s="138"/>
      <c r="BA18" s="272">
        <f t="shared" si="29"/>
        <v>0</v>
      </c>
      <c r="BB18" s="272">
        <f t="shared" si="30"/>
        <v>18.046767751072487</v>
      </c>
      <c r="BC18" s="138">
        <f t="shared" si="31"/>
        <v>0</v>
      </c>
      <c r="BD18" s="268">
        <f t="shared" si="32"/>
        <v>0</v>
      </c>
      <c r="BE18" s="138">
        <f t="shared" si="33"/>
        <v>0</v>
      </c>
      <c r="BF18" s="138">
        <f t="shared" si="34"/>
        <v>18.046767751072487</v>
      </c>
      <c r="BG18" s="138">
        <f t="shared" si="35"/>
        <v>275.21865754715651</v>
      </c>
      <c r="BH18" s="138">
        <f t="shared" si="36"/>
        <v>133.68641496010613</v>
      </c>
      <c r="BI18" s="138">
        <f t="shared" si="37"/>
        <v>9.2806190322300619</v>
      </c>
      <c r="BK18" s="31">
        <f>BL17</f>
        <v>26000</v>
      </c>
      <c r="BL18" s="31">
        <v>39000</v>
      </c>
      <c r="BM18" s="29">
        <v>8.0000000000000004E-4</v>
      </c>
      <c r="BN18" s="32">
        <v>7.1000000000000014</v>
      </c>
      <c r="BO18" s="29">
        <v>2.0000000000000009E-4</v>
      </c>
      <c r="BP18" s="33">
        <v>5.200000000000002</v>
      </c>
      <c r="BQ18" s="33">
        <v>7.1000000000000014</v>
      </c>
    </row>
    <row r="19" spans="1:69">
      <c r="A19" s="261" t="s">
        <v>288</v>
      </c>
      <c r="B19" s="262">
        <v>402</v>
      </c>
      <c r="C19" s="262">
        <v>1</v>
      </c>
      <c r="D19" s="263">
        <v>28.56</v>
      </c>
      <c r="E19" s="263">
        <v>48.87</v>
      </c>
      <c r="F19" s="256">
        <f t="shared" si="10"/>
        <v>2.8797712022879769</v>
      </c>
      <c r="G19" s="246">
        <f t="shared" si="0"/>
        <v>14.540957045968348</v>
      </c>
      <c r="H19" s="129"/>
      <c r="I19" s="171">
        <f t="shared" si="38"/>
        <v>2519</v>
      </c>
      <c r="J19" s="172">
        <f t="shared" si="11"/>
        <v>36628.670798794272</v>
      </c>
      <c r="K19" s="129"/>
      <c r="L19" s="172">
        <f t="shared" si="12"/>
        <v>38778.345000000008</v>
      </c>
      <c r="M19" s="172">
        <f t="shared" si="13"/>
        <v>793.50000000000023</v>
      </c>
      <c r="N19" s="4">
        <f t="shared" si="39"/>
        <v>690</v>
      </c>
      <c r="O19" s="173">
        <f t="shared" si="40"/>
        <v>1</v>
      </c>
      <c r="P19" s="173">
        <f t="shared" si="40"/>
        <v>1</v>
      </c>
      <c r="Q19" s="173">
        <f t="shared" si="1"/>
        <v>1.1500000000000004</v>
      </c>
      <c r="R19" s="129"/>
      <c r="S19" s="138">
        <f t="shared" si="2"/>
        <v>143154.08095919041</v>
      </c>
      <c r="T19" s="138">
        <f>S19*사업개요!$J$20</f>
        <v>114523.26476735233</v>
      </c>
      <c r="U19" s="138">
        <f>ROUND(T19*사업개요!$I$21,-3)</f>
        <v>57000</v>
      </c>
      <c r="V19" s="138">
        <f>ROUND((T19-U19)*사업개요!$I$22/12,0)</f>
        <v>230</v>
      </c>
      <c r="W19" s="138">
        <f t="shared" si="14"/>
        <v>178942.60119898801</v>
      </c>
      <c r="X19" s="130"/>
      <c r="Y19" s="11">
        <f t="shared" si="41"/>
        <v>0.8</v>
      </c>
      <c r="Z19" s="11">
        <f t="shared" si="42"/>
        <v>0.7</v>
      </c>
      <c r="AA19" s="265">
        <f t="shared" si="3"/>
        <v>100207.85667143328</v>
      </c>
      <c r="AB19" s="266">
        <f t="shared" si="4"/>
        <v>1.5E-3</v>
      </c>
      <c r="AC19" s="267">
        <f t="shared" si="5"/>
        <v>30</v>
      </c>
      <c r="AD19" s="172">
        <f t="shared" si="15"/>
        <v>120.31178500714992</v>
      </c>
      <c r="AE19" s="264">
        <f t="shared" si="6"/>
        <v>1</v>
      </c>
      <c r="AF19" s="138">
        <f t="shared" si="16"/>
        <v>120.31178500714992</v>
      </c>
      <c r="AG19" s="265">
        <f t="shared" si="17"/>
        <v>0</v>
      </c>
      <c r="AH19" s="129"/>
      <c r="AI19" s="265">
        <f t="shared" si="18"/>
        <v>140.29099934000658</v>
      </c>
      <c r="AJ19" s="264">
        <f t="shared" si="19"/>
        <v>1</v>
      </c>
      <c r="AK19" s="265">
        <f t="shared" si="20"/>
        <v>140.29099934000658</v>
      </c>
      <c r="AL19" s="265">
        <f t="shared" si="21"/>
        <v>0</v>
      </c>
      <c r="AM19" s="129"/>
      <c r="AN19" s="265">
        <f t="shared" si="22"/>
        <v>0</v>
      </c>
      <c r="AO19" s="129"/>
      <c r="AP19" s="138">
        <f t="shared" si="23"/>
        <v>27144.841500000006</v>
      </c>
      <c r="AQ19" s="138">
        <f t="shared" si="24"/>
        <v>38778.345000000008</v>
      </c>
      <c r="AR19" s="268">
        <f>사업개요!$C$7/사업개요!$C$3</f>
        <v>0</v>
      </c>
      <c r="AS19" s="269">
        <f t="shared" si="25"/>
        <v>1</v>
      </c>
      <c r="AT19" s="270">
        <f t="shared" si="7"/>
        <v>8.0000000000000004E-4</v>
      </c>
      <c r="AU19" s="271">
        <f t="shared" si="8"/>
        <v>7.1000000000000014</v>
      </c>
      <c r="AV19" s="138">
        <f t="shared" si="26"/>
        <v>14.615873200000003</v>
      </c>
      <c r="AW19" s="269">
        <f t="shared" si="9"/>
        <v>1</v>
      </c>
      <c r="AX19" s="138">
        <f t="shared" si="27"/>
        <v>14.615873200000003</v>
      </c>
      <c r="AY19" s="138">
        <f t="shared" si="28"/>
        <v>0</v>
      </c>
      <c r="AZ19" s="138"/>
      <c r="BA19" s="272">
        <f t="shared" si="29"/>
        <v>0</v>
      </c>
      <c r="BB19" s="272">
        <f t="shared" si="30"/>
        <v>18.046767751072487</v>
      </c>
      <c r="BC19" s="138">
        <f t="shared" si="31"/>
        <v>0</v>
      </c>
      <c r="BD19" s="268">
        <f t="shared" si="32"/>
        <v>0</v>
      </c>
      <c r="BE19" s="138">
        <f t="shared" si="33"/>
        <v>0</v>
      </c>
      <c r="BF19" s="138">
        <f t="shared" si="34"/>
        <v>18.046767751072487</v>
      </c>
      <c r="BG19" s="138">
        <f t="shared" si="35"/>
        <v>275.21865754715651</v>
      </c>
      <c r="BH19" s="138">
        <f t="shared" si="36"/>
        <v>133.68641496010613</v>
      </c>
      <c r="BI19" s="138">
        <f t="shared" si="37"/>
        <v>9.2806190322300619</v>
      </c>
      <c r="BK19" s="31">
        <f>BL18</f>
        <v>39000</v>
      </c>
      <c r="BL19" s="31">
        <v>64000</v>
      </c>
      <c r="BM19" s="29">
        <v>1E-3</v>
      </c>
      <c r="BN19" s="32">
        <v>14.9</v>
      </c>
      <c r="BO19" s="29">
        <v>1.9999999999999998E-4</v>
      </c>
      <c r="BP19" s="33">
        <v>7.8</v>
      </c>
      <c r="BQ19" s="33">
        <v>14.9</v>
      </c>
    </row>
    <row r="20" spans="1:69">
      <c r="A20" s="261" t="s">
        <v>288</v>
      </c>
      <c r="B20" s="262">
        <v>403</v>
      </c>
      <c r="C20" s="262">
        <v>1</v>
      </c>
      <c r="D20" s="263">
        <v>28.56</v>
      </c>
      <c r="E20" s="263">
        <v>48.87</v>
      </c>
      <c r="F20" s="256">
        <f t="shared" si="10"/>
        <v>2.8797712022879769</v>
      </c>
      <c r="G20" s="246">
        <f t="shared" si="0"/>
        <v>14.540957045968348</v>
      </c>
      <c r="H20" s="129"/>
      <c r="I20" s="171">
        <f t="shared" si="38"/>
        <v>2519</v>
      </c>
      <c r="J20" s="172">
        <f t="shared" si="11"/>
        <v>36628.670798794272</v>
      </c>
      <c r="K20" s="129"/>
      <c r="L20" s="172">
        <f t="shared" si="12"/>
        <v>38778.345000000008</v>
      </c>
      <c r="M20" s="172">
        <f t="shared" si="13"/>
        <v>793.50000000000023</v>
      </c>
      <c r="N20" s="4">
        <f t="shared" si="39"/>
        <v>690</v>
      </c>
      <c r="O20" s="173">
        <f t="shared" si="40"/>
        <v>1</v>
      </c>
      <c r="P20" s="173">
        <f t="shared" si="40"/>
        <v>1</v>
      </c>
      <c r="Q20" s="173">
        <f t="shared" si="1"/>
        <v>1.1500000000000004</v>
      </c>
      <c r="R20" s="129"/>
      <c r="S20" s="138">
        <f t="shared" si="2"/>
        <v>143154.08095919041</v>
      </c>
      <c r="T20" s="138">
        <f>S20*사업개요!$J$20</f>
        <v>114523.26476735233</v>
      </c>
      <c r="U20" s="138">
        <f>ROUND(T20*사업개요!$I$21,-3)</f>
        <v>57000</v>
      </c>
      <c r="V20" s="138">
        <f>ROUND((T20-U20)*사업개요!$I$22/12,0)</f>
        <v>230</v>
      </c>
      <c r="W20" s="138">
        <f t="shared" si="14"/>
        <v>178942.60119898801</v>
      </c>
      <c r="X20" s="130"/>
      <c r="Y20" s="11">
        <f t="shared" si="41"/>
        <v>0.8</v>
      </c>
      <c r="Z20" s="11">
        <f t="shared" si="42"/>
        <v>0.7</v>
      </c>
      <c r="AA20" s="265">
        <f t="shared" si="3"/>
        <v>100207.85667143328</v>
      </c>
      <c r="AB20" s="266">
        <f t="shared" si="4"/>
        <v>1.5E-3</v>
      </c>
      <c r="AC20" s="267">
        <f t="shared" si="5"/>
        <v>30</v>
      </c>
      <c r="AD20" s="172">
        <f t="shared" si="15"/>
        <v>120.31178500714992</v>
      </c>
      <c r="AE20" s="264">
        <f t="shared" si="6"/>
        <v>1</v>
      </c>
      <c r="AF20" s="138">
        <f t="shared" si="16"/>
        <v>120.31178500714992</v>
      </c>
      <c r="AG20" s="265">
        <f t="shared" si="17"/>
        <v>0</v>
      </c>
      <c r="AH20" s="129"/>
      <c r="AI20" s="265">
        <f t="shared" si="18"/>
        <v>140.29099934000658</v>
      </c>
      <c r="AJ20" s="264">
        <f t="shared" si="19"/>
        <v>1</v>
      </c>
      <c r="AK20" s="265">
        <f t="shared" si="20"/>
        <v>140.29099934000658</v>
      </c>
      <c r="AL20" s="265">
        <f t="shared" si="21"/>
        <v>0</v>
      </c>
      <c r="AM20" s="129"/>
      <c r="AN20" s="265">
        <f t="shared" si="22"/>
        <v>0</v>
      </c>
      <c r="AO20" s="129"/>
      <c r="AP20" s="138">
        <f t="shared" si="23"/>
        <v>27144.841500000006</v>
      </c>
      <c r="AQ20" s="138">
        <f t="shared" si="24"/>
        <v>38778.345000000008</v>
      </c>
      <c r="AR20" s="268">
        <f>사업개요!$C$7/사업개요!$C$3</f>
        <v>0</v>
      </c>
      <c r="AS20" s="269">
        <f t="shared" si="25"/>
        <v>1</v>
      </c>
      <c r="AT20" s="270">
        <f t="shared" si="7"/>
        <v>8.0000000000000004E-4</v>
      </c>
      <c r="AU20" s="271">
        <f t="shared" si="8"/>
        <v>7.1000000000000014</v>
      </c>
      <c r="AV20" s="138">
        <f t="shared" si="26"/>
        <v>14.615873200000003</v>
      </c>
      <c r="AW20" s="269">
        <f t="shared" si="9"/>
        <v>1</v>
      </c>
      <c r="AX20" s="138">
        <f t="shared" si="27"/>
        <v>14.615873200000003</v>
      </c>
      <c r="AY20" s="138">
        <f t="shared" si="28"/>
        <v>0</v>
      </c>
      <c r="AZ20" s="138"/>
      <c r="BA20" s="272">
        <f t="shared" si="29"/>
        <v>0</v>
      </c>
      <c r="BB20" s="272">
        <f t="shared" si="30"/>
        <v>18.046767751072487</v>
      </c>
      <c r="BC20" s="138">
        <f t="shared" si="31"/>
        <v>0</v>
      </c>
      <c r="BD20" s="268">
        <f t="shared" si="32"/>
        <v>0</v>
      </c>
      <c r="BE20" s="138">
        <f t="shared" si="33"/>
        <v>0</v>
      </c>
      <c r="BF20" s="138">
        <f t="shared" si="34"/>
        <v>18.046767751072487</v>
      </c>
      <c r="BG20" s="138">
        <f t="shared" si="35"/>
        <v>275.21865754715651</v>
      </c>
      <c r="BH20" s="138">
        <f t="shared" si="36"/>
        <v>133.68641496010613</v>
      </c>
      <c r="BI20" s="138">
        <f t="shared" si="37"/>
        <v>9.2806190322300619</v>
      </c>
      <c r="BK20" s="31">
        <f>BL19</f>
        <v>64000</v>
      </c>
      <c r="BL20" s="31">
        <v>99999999</v>
      </c>
      <c r="BM20" s="29">
        <v>1.1999999999999999E-3</v>
      </c>
      <c r="BN20" s="32">
        <v>27.699999999999992</v>
      </c>
      <c r="BO20" s="29">
        <v>1.9999999999999987E-4</v>
      </c>
      <c r="BP20" s="30">
        <v>12.799999999999992</v>
      </c>
      <c r="BQ20" s="30">
        <v>27.699999999999992</v>
      </c>
    </row>
    <row r="21" spans="1:69">
      <c r="A21" s="261" t="s">
        <v>289</v>
      </c>
      <c r="B21" s="262">
        <v>404</v>
      </c>
      <c r="C21" s="262">
        <v>1</v>
      </c>
      <c r="D21" s="263">
        <v>28.32</v>
      </c>
      <c r="E21" s="263">
        <v>48.48</v>
      </c>
      <c r="F21" s="256">
        <f t="shared" si="10"/>
        <v>2.8555714442855571</v>
      </c>
      <c r="G21" s="246">
        <f t="shared" si="0"/>
        <v>14.418764129615674</v>
      </c>
      <c r="H21" s="129"/>
      <c r="I21" s="171">
        <f t="shared" si="38"/>
        <v>2519</v>
      </c>
      <c r="J21" s="172">
        <f t="shared" si="11"/>
        <v>36320.866842501884</v>
      </c>
      <c r="K21" s="129"/>
      <c r="L21" s="172">
        <f t="shared" si="12"/>
        <v>38468.880000000012</v>
      </c>
      <c r="M21" s="172">
        <f t="shared" si="13"/>
        <v>793.50000000000023</v>
      </c>
      <c r="N21" s="4">
        <f t="shared" si="39"/>
        <v>690</v>
      </c>
      <c r="O21" s="173">
        <f t="shared" si="40"/>
        <v>1</v>
      </c>
      <c r="P21" s="173">
        <f t="shared" si="40"/>
        <v>1</v>
      </c>
      <c r="Q21" s="173">
        <f t="shared" si="1"/>
        <v>1.1500000000000004</v>
      </c>
      <c r="R21" s="129"/>
      <c r="S21" s="138">
        <f t="shared" si="2"/>
        <v>141951.10548894509</v>
      </c>
      <c r="T21" s="138">
        <f>S21*사업개요!$J$20</f>
        <v>113560.88439115608</v>
      </c>
      <c r="U21" s="138">
        <f>ROUND(T21*사업개요!$I$21,-3)</f>
        <v>57000</v>
      </c>
      <c r="V21" s="138">
        <f>ROUND((T21-U21)*사업개요!$I$22/12,0)</f>
        <v>226</v>
      </c>
      <c r="W21" s="138">
        <f t="shared" si="14"/>
        <v>177438.88186118135</v>
      </c>
      <c r="X21" s="130"/>
      <c r="Y21" s="11">
        <f t="shared" si="41"/>
        <v>0.8</v>
      </c>
      <c r="Z21" s="11">
        <f t="shared" si="42"/>
        <v>0.7</v>
      </c>
      <c r="AA21" s="265">
        <f t="shared" si="3"/>
        <v>99365.773842261551</v>
      </c>
      <c r="AB21" s="266">
        <f t="shared" si="4"/>
        <v>1.5E-3</v>
      </c>
      <c r="AC21" s="267">
        <f t="shared" si="5"/>
        <v>30</v>
      </c>
      <c r="AD21" s="172">
        <f t="shared" si="15"/>
        <v>119.04866076339232</v>
      </c>
      <c r="AE21" s="264">
        <f t="shared" si="6"/>
        <v>1</v>
      </c>
      <c r="AF21" s="138">
        <f t="shared" si="16"/>
        <v>119.04866076339232</v>
      </c>
      <c r="AG21" s="265">
        <f t="shared" si="17"/>
        <v>0</v>
      </c>
      <c r="AH21" s="129"/>
      <c r="AI21" s="265">
        <f t="shared" si="18"/>
        <v>139.11208337916617</v>
      </c>
      <c r="AJ21" s="264">
        <f t="shared" si="19"/>
        <v>1</v>
      </c>
      <c r="AK21" s="265">
        <f t="shared" si="20"/>
        <v>139.11208337916617</v>
      </c>
      <c r="AL21" s="265">
        <f t="shared" si="21"/>
        <v>0</v>
      </c>
      <c r="AM21" s="129"/>
      <c r="AN21" s="265">
        <f t="shared" si="22"/>
        <v>0</v>
      </c>
      <c r="AO21" s="129"/>
      <c r="AP21" s="138">
        <f t="shared" si="23"/>
        <v>26928.216000000008</v>
      </c>
      <c r="AQ21" s="138">
        <f t="shared" si="24"/>
        <v>38468.880000000012</v>
      </c>
      <c r="AR21" s="268">
        <f>사업개요!$C$7/사업개요!$C$3</f>
        <v>0</v>
      </c>
      <c r="AS21" s="269">
        <f t="shared" si="25"/>
        <v>1</v>
      </c>
      <c r="AT21" s="270">
        <f t="shared" si="7"/>
        <v>8.0000000000000004E-4</v>
      </c>
      <c r="AU21" s="271">
        <f t="shared" si="8"/>
        <v>7.1000000000000014</v>
      </c>
      <c r="AV21" s="138">
        <f t="shared" si="26"/>
        <v>14.442572800000004</v>
      </c>
      <c r="AW21" s="269">
        <f t="shared" si="9"/>
        <v>1</v>
      </c>
      <c r="AX21" s="138">
        <f t="shared" si="27"/>
        <v>14.442572800000004</v>
      </c>
      <c r="AY21" s="138">
        <f t="shared" si="28"/>
        <v>0</v>
      </c>
      <c r="AZ21" s="138"/>
      <c r="BA21" s="272">
        <f t="shared" si="29"/>
        <v>0</v>
      </c>
      <c r="BB21" s="272">
        <f t="shared" si="30"/>
        <v>17.857299114508848</v>
      </c>
      <c r="BC21" s="138">
        <f t="shared" si="31"/>
        <v>0</v>
      </c>
      <c r="BD21" s="268">
        <f t="shared" si="32"/>
        <v>0</v>
      </c>
      <c r="BE21" s="138">
        <f t="shared" si="33"/>
        <v>0</v>
      </c>
      <c r="BF21" s="138">
        <f t="shared" si="34"/>
        <v>17.857299114508848</v>
      </c>
      <c r="BG21" s="138">
        <f t="shared" si="35"/>
        <v>272.60331694255848</v>
      </c>
      <c r="BH21" s="138">
        <f t="shared" si="36"/>
        <v>132.38698074945626</v>
      </c>
      <c r="BI21" s="138">
        <f t="shared" si="37"/>
        <v>9.1850865360833627</v>
      </c>
      <c r="BK21" s="20"/>
      <c r="BL21" s="20"/>
      <c r="BM21" s="158"/>
      <c r="BN21" s="159"/>
      <c r="BO21" s="158"/>
      <c r="BP21" s="21"/>
      <c r="BQ21" s="21"/>
    </row>
    <row r="22" spans="1:69">
      <c r="A22" s="261" t="s">
        <v>289</v>
      </c>
      <c r="B22" s="262">
        <v>405</v>
      </c>
      <c r="C22" s="262">
        <v>1</v>
      </c>
      <c r="D22" s="263">
        <v>28.32</v>
      </c>
      <c r="E22" s="263">
        <v>48.48</v>
      </c>
      <c r="F22" s="256">
        <f t="shared" si="10"/>
        <v>2.8555714442855571</v>
      </c>
      <c r="G22" s="246">
        <f t="shared" si="0"/>
        <v>14.418764129615674</v>
      </c>
      <c r="H22" s="129"/>
      <c r="I22" s="171">
        <f t="shared" si="38"/>
        <v>2519</v>
      </c>
      <c r="J22" s="172">
        <f t="shared" si="11"/>
        <v>36320.866842501884</v>
      </c>
      <c r="K22" s="129"/>
      <c r="L22" s="172">
        <f t="shared" si="12"/>
        <v>38468.880000000012</v>
      </c>
      <c r="M22" s="172">
        <f t="shared" si="13"/>
        <v>793.50000000000023</v>
      </c>
      <c r="N22" s="4">
        <f t="shared" si="39"/>
        <v>690</v>
      </c>
      <c r="O22" s="173">
        <f t="shared" si="40"/>
        <v>1</v>
      </c>
      <c r="P22" s="173">
        <f t="shared" si="40"/>
        <v>1</v>
      </c>
      <c r="Q22" s="173">
        <f t="shared" si="1"/>
        <v>1.1500000000000004</v>
      </c>
      <c r="R22" s="129"/>
      <c r="S22" s="138">
        <f t="shared" si="2"/>
        <v>141951.10548894509</v>
      </c>
      <c r="T22" s="138">
        <f>S22*사업개요!$J$20</f>
        <v>113560.88439115608</v>
      </c>
      <c r="U22" s="138">
        <f>ROUND(T22*사업개요!$I$21,-3)</f>
        <v>57000</v>
      </c>
      <c r="V22" s="138">
        <f>ROUND((T22-U22)*사업개요!$I$22/12,0)</f>
        <v>226</v>
      </c>
      <c r="W22" s="138">
        <f t="shared" si="14"/>
        <v>177438.88186118135</v>
      </c>
      <c r="X22" s="130"/>
      <c r="Y22" s="11">
        <f t="shared" si="41"/>
        <v>0.8</v>
      </c>
      <c r="Z22" s="11">
        <f t="shared" si="42"/>
        <v>0.7</v>
      </c>
      <c r="AA22" s="265">
        <f t="shared" si="3"/>
        <v>99365.773842261551</v>
      </c>
      <c r="AB22" s="266">
        <f t="shared" si="4"/>
        <v>1.5E-3</v>
      </c>
      <c r="AC22" s="267">
        <f t="shared" si="5"/>
        <v>30</v>
      </c>
      <c r="AD22" s="172">
        <f t="shared" si="15"/>
        <v>119.04866076339232</v>
      </c>
      <c r="AE22" s="264">
        <f t="shared" si="6"/>
        <v>1</v>
      </c>
      <c r="AF22" s="138">
        <f t="shared" si="16"/>
        <v>119.04866076339232</v>
      </c>
      <c r="AG22" s="265">
        <f t="shared" si="17"/>
        <v>0</v>
      </c>
      <c r="AH22" s="129"/>
      <c r="AI22" s="265">
        <f t="shared" si="18"/>
        <v>139.11208337916617</v>
      </c>
      <c r="AJ22" s="264">
        <f t="shared" si="19"/>
        <v>1</v>
      </c>
      <c r="AK22" s="265">
        <f t="shared" si="20"/>
        <v>139.11208337916617</v>
      </c>
      <c r="AL22" s="265">
        <f t="shared" si="21"/>
        <v>0</v>
      </c>
      <c r="AM22" s="129"/>
      <c r="AN22" s="265">
        <f t="shared" si="22"/>
        <v>0</v>
      </c>
      <c r="AO22" s="129"/>
      <c r="AP22" s="138">
        <f t="shared" si="23"/>
        <v>26928.216000000008</v>
      </c>
      <c r="AQ22" s="138">
        <f t="shared" si="24"/>
        <v>38468.880000000012</v>
      </c>
      <c r="AR22" s="268">
        <f>사업개요!$C$7/사업개요!$C$3</f>
        <v>0</v>
      </c>
      <c r="AS22" s="269">
        <f t="shared" si="25"/>
        <v>1</v>
      </c>
      <c r="AT22" s="270">
        <f t="shared" si="7"/>
        <v>8.0000000000000004E-4</v>
      </c>
      <c r="AU22" s="271">
        <f t="shared" si="8"/>
        <v>7.1000000000000014</v>
      </c>
      <c r="AV22" s="138">
        <f t="shared" si="26"/>
        <v>14.442572800000004</v>
      </c>
      <c r="AW22" s="269">
        <f t="shared" si="9"/>
        <v>1</v>
      </c>
      <c r="AX22" s="138">
        <f t="shared" si="27"/>
        <v>14.442572800000004</v>
      </c>
      <c r="AY22" s="138">
        <f t="shared" si="28"/>
        <v>0</v>
      </c>
      <c r="AZ22" s="138"/>
      <c r="BA22" s="272">
        <f t="shared" si="29"/>
        <v>0</v>
      </c>
      <c r="BB22" s="272">
        <f t="shared" si="30"/>
        <v>17.857299114508848</v>
      </c>
      <c r="BC22" s="138">
        <f t="shared" si="31"/>
        <v>0</v>
      </c>
      <c r="BD22" s="268">
        <f t="shared" si="32"/>
        <v>0</v>
      </c>
      <c r="BE22" s="138">
        <f t="shared" si="33"/>
        <v>0</v>
      </c>
      <c r="BF22" s="138">
        <f t="shared" si="34"/>
        <v>17.857299114508848</v>
      </c>
      <c r="BG22" s="138">
        <f t="shared" si="35"/>
        <v>272.60331694255848</v>
      </c>
      <c r="BH22" s="138">
        <f t="shared" si="36"/>
        <v>132.38698074945626</v>
      </c>
      <c r="BI22" s="138">
        <f t="shared" si="37"/>
        <v>9.1850865360833627</v>
      </c>
      <c r="BK22" s="7" t="s">
        <v>60</v>
      </c>
    </row>
    <row r="23" spans="1:69">
      <c r="A23" s="261" t="s">
        <v>289</v>
      </c>
      <c r="B23" s="262">
        <v>406</v>
      </c>
      <c r="C23" s="262">
        <v>1</v>
      </c>
      <c r="D23" s="263">
        <v>28.32</v>
      </c>
      <c r="E23" s="263">
        <v>48.48</v>
      </c>
      <c r="F23" s="256">
        <f t="shared" si="10"/>
        <v>2.8555714442855571</v>
      </c>
      <c r="G23" s="246">
        <f t="shared" si="0"/>
        <v>14.418764129615674</v>
      </c>
      <c r="H23" s="129"/>
      <c r="I23" s="171">
        <f t="shared" si="38"/>
        <v>2519</v>
      </c>
      <c r="J23" s="172">
        <f t="shared" si="11"/>
        <v>36320.866842501884</v>
      </c>
      <c r="K23" s="129"/>
      <c r="L23" s="172">
        <f t="shared" si="12"/>
        <v>38468.880000000012</v>
      </c>
      <c r="M23" s="172">
        <f t="shared" si="13"/>
        <v>793.50000000000023</v>
      </c>
      <c r="N23" s="4">
        <f t="shared" si="39"/>
        <v>690</v>
      </c>
      <c r="O23" s="173">
        <f t="shared" si="40"/>
        <v>1</v>
      </c>
      <c r="P23" s="173">
        <f t="shared" si="40"/>
        <v>1</v>
      </c>
      <c r="Q23" s="173">
        <f t="shared" si="1"/>
        <v>1.1500000000000004</v>
      </c>
      <c r="R23" s="129"/>
      <c r="S23" s="138">
        <f t="shared" si="2"/>
        <v>141951.10548894509</v>
      </c>
      <c r="T23" s="138">
        <f>S23*사업개요!$J$20</f>
        <v>113560.88439115608</v>
      </c>
      <c r="U23" s="138">
        <f>ROUND(T23*사업개요!$I$21,-3)</f>
        <v>57000</v>
      </c>
      <c r="V23" s="138">
        <f>ROUND((T23-U23)*사업개요!$I$22/12,0)</f>
        <v>226</v>
      </c>
      <c r="W23" s="138">
        <f t="shared" si="14"/>
        <v>177438.88186118135</v>
      </c>
      <c r="X23" s="130"/>
      <c r="Y23" s="11">
        <f t="shared" si="41"/>
        <v>0.8</v>
      </c>
      <c r="Z23" s="11">
        <f t="shared" si="42"/>
        <v>0.7</v>
      </c>
      <c r="AA23" s="265">
        <f t="shared" si="3"/>
        <v>99365.773842261551</v>
      </c>
      <c r="AB23" s="266">
        <f t="shared" si="4"/>
        <v>1.5E-3</v>
      </c>
      <c r="AC23" s="267">
        <f t="shared" si="5"/>
        <v>30</v>
      </c>
      <c r="AD23" s="172">
        <f t="shared" si="15"/>
        <v>119.04866076339232</v>
      </c>
      <c r="AE23" s="264">
        <f t="shared" si="6"/>
        <v>1</v>
      </c>
      <c r="AF23" s="138">
        <f t="shared" si="16"/>
        <v>119.04866076339232</v>
      </c>
      <c r="AG23" s="265">
        <f t="shared" si="17"/>
        <v>0</v>
      </c>
      <c r="AH23" s="129"/>
      <c r="AI23" s="265">
        <f t="shared" si="18"/>
        <v>139.11208337916617</v>
      </c>
      <c r="AJ23" s="264">
        <f t="shared" si="19"/>
        <v>1</v>
      </c>
      <c r="AK23" s="265">
        <f t="shared" si="20"/>
        <v>139.11208337916617</v>
      </c>
      <c r="AL23" s="265">
        <f t="shared" si="21"/>
        <v>0</v>
      </c>
      <c r="AM23" s="129"/>
      <c r="AN23" s="265">
        <f t="shared" si="22"/>
        <v>0</v>
      </c>
      <c r="AO23" s="129"/>
      <c r="AP23" s="138">
        <f t="shared" si="23"/>
        <v>26928.216000000008</v>
      </c>
      <c r="AQ23" s="138">
        <f t="shared" si="24"/>
        <v>38468.880000000012</v>
      </c>
      <c r="AR23" s="268">
        <f>사업개요!$C$7/사업개요!$C$3</f>
        <v>0</v>
      </c>
      <c r="AS23" s="269">
        <f t="shared" si="25"/>
        <v>1</v>
      </c>
      <c r="AT23" s="270">
        <f t="shared" si="7"/>
        <v>8.0000000000000004E-4</v>
      </c>
      <c r="AU23" s="271">
        <f t="shared" si="8"/>
        <v>7.1000000000000014</v>
      </c>
      <c r="AV23" s="138">
        <f t="shared" si="26"/>
        <v>14.442572800000004</v>
      </c>
      <c r="AW23" s="269">
        <f t="shared" si="9"/>
        <v>1</v>
      </c>
      <c r="AX23" s="138">
        <f t="shared" si="27"/>
        <v>14.442572800000004</v>
      </c>
      <c r="AY23" s="138">
        <f t="shared" si="28"/>
        <v>0</v>
      </c>
      <c r="AZ23" s="138"/>
      <c r="BA23" s="272">
        <f t="shared" si="29"/>
        <v>0</v>
      </c>
      <c r="BB23" s="272">
        <f t="shared" si="30"/>
        <v>17.857299114508848</v>
      </c>
      <c r="BC23" s="138">
        <f t="shared" si="31"/>
        <v>0</v>
      </c>
      <c r="BD23" s="268">
        <f t="shared" si="32"/>
        <v>0</v>
      </c>
      <c r="BE23" s="138">
        <f t="shared" si="33"/>
        <v>0</v>
      </c>
      <c r="BF23" s="138">
        <f t="shared" si="34"/>
        <v>17.857299114508848</v>
      </c>
      <c r="BG23" s="138">
        <f t="shared" si="35"/>
        <v>272.60331694255848</v>
      </c>
      <c r="BH23" s="138">
        <f t="shared" si="36"/>
        <v>132.38698074945626</v>
      </c>
      <c r="BI23" s="138">
        <f t="shared" si="37"/>
        <v>9.1850865360833627</v>
      </c>
      <c r="BK23" s="35" t="s">
        <v>50</v>
      </c>
      <c r="BL23" s="35" t="s">
        <v>51</v>
      </c>
      <c r="BM23" s="35" t="s">
        <v>52</v>
      </c>
      <c r="BN23" s="35" t="s">
        <v>53</v>
      </c>
      <c r="BO23" s="35" t="s">
        <v>54</v>
      </c>
      <c r="BP23" s="35" t="s">
        <v>55</v>
      </c>
      <c r="BQ23" s="35" t="s">
        <v>53</v>
      </c>
    </row>
    <row r="24" spans="1:69">
      <c r="A24" s="261" t="s">
        <v>289</v>
      </c>
      <c r="B24" s="262">
        <v>407</v>
      </c>
      <c r="C24" s="262">
        <v>1</v>
      </c>
      <c r="D24" s="263">
        <v>28.32</v>
      </c>
      <c r="E24" s="263">
        <v>48.48</v>
      </c>
      <c r="F24" s="256">
        <f t="shared" si="10"/>
        <v>2.8555714442855571</v>
      </c>
      <c r="G24" s="246">
        <f t="shared" si="0"/>
        <v>14.418764129615674</v>
      </c>
      <c r="H24" s="129"/>
      <c r="I24" s="171">
        <f t="shared" si="38"/>
        <v>2519</v>
      </c>
      <c r="J24" s="172">
        <f t="shared" si="11"/>
        <v>36320.866842501884</v>
      </c>
      <c r="K24" s="129"/>
      <c r="L24" s="172">
        <f t="shared" si="12"/>
        <v>38468.880000000012</v>
      </c>
      <c r="M24" s="172">
        <f t="shared" si="13"/>
        <v>793.50000000000023</v>
      </c>
      <c r="N24" s="4">
        <f t="shared" si="39"/>
        <v>690</v>
      </c>
      <c r="O24" s="173">
        <f t="shared" si="40"/>
        <v>1</v>
      </c>
      <c r="P24" s="173">
        <f t="shared" si="40"/>
        <v>1</v>
      </c>
      <c r="Q24" s="173">
        <f t="shared" si="1"/>
        <v>1.1500000000000004</v>
      </c>
      <c r="R24" s="129"/>
      <c r="S24" s="138">
        <f t="shared" si="2"/>
        <v>141951.10548894509</v>
      </c>
      <c r="T24" s="138">
        <f>S24*사업개요!$J$20</f>
        <v>113560.88439115608</v>
      </c>
      <c r="U24" s="138">
        <f>ROUND(T24*사업개요!$I$21,-3)</f>
        <v>57000</v>
      </c>
      <c r="V24" s="138">
        <f>ROUND((T24-U24)*사업개요!$I$22/12,0)</f>
        <v>226</v>
      </c>
      <c r="W24" s="138">
        <f t="shared" si="14"/>
        <v>177438.88186118135</v>
      </c>
      <c r="X24" s="130"/>
      <c r="Y24" s="11">
        <f t="shared" si="41"/>
        <v>0.8</v>
      </c>
      <c r="Z24" s="11">
        <f t="shared" si="42"/>
        <v>0.7</v>
      </c>
      <c r="AA24" s="265">
        <f t="shared" si="3"/>
        <v>99365.773842261551</v>
      </c>
      <c r="AB24" s="266">
        <f t="shared" si="4"/>
        <v>1.5E-3</v>
      </c>
      <c r="AC24" s="267">
        <f t="shared" si="5"/>
        <v>30</v>
      </c>
      <c r="AD24" s="172">
        <f t="shared" si="15"/>
        <v>119.04866076339232</v>
      </c>
      <c r="AE24" s="264">
        <f t="shared" si="6"/>
        <v>1</v>
      </c>
      <c r="AF24" s="138">
        <f t="shared" si="16"/>
        <v>119.04866076339232</v>
      </c>
      <c r="AG24" s="265">
        <f t="shared" si="17"/>
        <v>0</v>
      </c>
      <c r="AH24" s="129"/>
      <c r="AI24" s="265">
        <f t="shared" si="18"/>
        <v>139.11208337916617</v>
      </c>
      <c r="AJ24" s="264">
        <f t="shared" si="19"/>
        <v>1</v>
      </c>
      <c r="AK24" s="265">
        <f t="shared" si="20"/>
        <v>139.11208337916617</v>
      </c>
      <c r="AL24" s="265">
        <f t="shared" si="21"/>
        <v>0</v>
      </c>
      <c r="AM24" s="129"/>
      <c r="AN24" s="265">
        <f t="shared" si="22"/>
        <v>0</v>
      </c>
      <c r="AO24" s="129"/>
      <c r="AP24" s="138">
        <f t="shared" si="23"/>
        <v>26928.216000000008</v>
      </c>
      <c r="AQ24" s="138">
        <f t="shared" si="24"/>
        <v>38468.880000000012</v>
      </c>
      <c r="AR24" s="268">
        <f>사업개요!$C$7/사업개요!$C$3</f>
        <v>0</v>
      </c>
      <c r="AS24" s="269">
        <f t="shared" si="25"/>
        <v>1</v>
      </c>
      <c r="AT24" s="270">
        <f t="shared" si="7"/>
        <v>8.0000000000000004E-4</v>
      </c>
      <c r="AU24" s="271">
        <f t="shared" si="8"/>
        <v>7.1000000000000014</v>
      </c>
      <c r="AV24" s="138">
        <f t="shared" si="26"/>
        <v>14.442572800000004</v>
      </c>
      <c r="AW24" s="269">
        <f t="shared" si="9"/>
        <v>1</v>
      </c>
      <c r="AX24" s="138">
        <f t="shared" si="27"/>
        <v>14.442572800000004</v>
      </c>
      <c r="AY24" s="138">
        <f t="shared" si="28"/>
        <v>0</v>
      </c>
      <c r="AZ24" s="138"/>
      <c r="BA24" s="272">
        <f t="shared" si="29"/>
        <v>0</v>
      </c>
      <c r="BB24" s="272">
        <f t="shared" si="30"/>
        <v>17.857299114508848</v>
      </c>
      <c r="BC24" s="138">
        <f t="shared" si="31"/>
        <v>0</v>
      </c>
      <c r="BD24" s="268">
        <f t="shared" si="32"/>
        <v>0</v>
      </c>
      <c r="BE24" s="138">
        <f t="shared" si="33"/>
        <v>0</v>
      </c>
      <c r="BF24" s="138">
        <f t="shared" si="34"/>
        <v>17.857299114508848</v>
      </c>
      <c r="BG24" s="138">
        <f t="shared" si="35"/>
        <v>272.60331694255848</v>
      </c>
      <c r="BH24" s="138">
        <f t="shared" si="36"/>
        <v>132.38698074945626</v>
      </c>
      <c r="BI24" s="138">
        <f t="shared" si="37"/>
        <v>9.1850865360833627</v>
      </c>
      <c r="BK24" s="31"/>
      <c r="BL24" s="31">
        <v>6000</v>
      </c>
      <c r="BM24" s="29">
        <v>4.0000000000000002E-4</v>
      </c>
      <c r="BN24" s="32"/>
      <c r="BO24" s="29"/>
      <c r="BP24" s="30"/>
      <c r="BQ24" s="30"/>
    </row>
    <row r="25" spans="1:69">
      <c r="A25" s="261" t="s">
        <v>290</v>
      </c>
      <c r="B25" s="262">
        <v>501</v>
      </c>
      <c r="C25" s="262">
        <v>1</v>
      </c>
      <c r="D25" s="263">
        <v>45.4</v>
      </c>
      <c r="E25" s="263">
        <v>76.569999999999993</v>
      </c>
      <c r="F25" s="256">
        <f t="shared" si="10"/>
        <v>4.5777875554577783</v>
      </c>
      <c r="G25" s="246">
        <f t="shared" si="0"/>
        <v>23.114826676714394</v>
      </c>
      <c r="H25" s="129"/>
      <c r="I25" s="171">
        <f t="shared" si="38"/>
        <v>2519</v>
      </c>
      <c r="J25" s="172">
        <f t="shared" si="11"/>
        <v>58226.248398643555</v>
      </c>
      <c r="K25" s="129"/>
      <c r="L25" s="172">
        <f t="shared" si="12"/>
        <v>60758.295000000013</v>
      </c>
      <c r="M25" s="172">
        <f t="shared" si="13"/>
        <v>793.50000000000023</v>
      </c>
      <c r="N25" s="4">
        <f t="shared" si="39"/>
        <v>690</v>
      </c>
      <c r="O25" s="173">
        <f t="shared" si="40"/>
        <v>1</v>
      </c>
      <c r="P25" s="173">
        <f t="shared" si="40"/>
        <v>1</v>
      </c>
      <c r="Q25" s="173">
        <f t="shared" si="1"/>
        <v>1.1500000000000004</v>
      </c>
      <c r="R25" s="129"/>
      <c r="S25" s="138">
        <f t="shared" si="2"/>
        <v>227562.85978806877</v>
      </c>
      <c r="T25" s="138">
        <f>S25*사업개요!$J$20</f>
        <v>182050.28783045502</v>
      </c>
      <c r="U25" s="138">
        <f>ROUND(T25*사업개요!$I$21,-3)</f>
        <v>91000</v>
      </c>
      <c r="V25" s="138">
        <f>ROUND((T25-U25)*사업개요!$I$22/12,0)</f>
        <v>364</v>
      </c>
      <c r="W25" s="138">
        <f t="shared" si="14"/>
        <v>284453.57473508595</v>
      </c>
      <c r="X25" s="130"/>
      <c r="Y25" s="11">
        <f t="shared" si="41"/>
        <v>0.8</v>
      </c>
      <c r="Z25" s="11">
        <f t="shared" si="42"/>
        <v>0.7</v>
      </c>
      <c r="AA25" s="265">
        <f t="shared" si="3"/>
        <v>159294.00185164812</v>
      </c>
      <c r="AB25" s="266">
        <f t="shared" si="4"/>
        <v>2.5000000000000001E-3</v>
      </c>
      <c r="AC25" s="267">
        <f t="shared" si="5"/>
        <v>180</v>
      </c>
      <c r="AD25" s="172">
        <f t="shared" si="15"/>
        <v>218.23500462912034</v>
      </c>
      <c r="AE25" s="264">
        <f t="shared" si="6"/>
        <v>0.75</v>
      </c>
      <c r="AF25" s="138">
        <f t="shared" si="16"/>
        <v>163.67625347184025</v>
      </c>
      <c r="AG25" s="265">
        <f t="shared" si="17"/>
        <v>54.558751157280085</v>
      </c>
      <c r="AH25" s="129"/>
      <c r="AI25" s="265">
        <f t="shared" si="18"/>
        <v>223.01160259230736</v>
      </c>
      <c r="AJ25" s="264">
        <f t="shared" si="19"/>
        <v>0.75</v>
      </c>
      <c r="AK25" s="265">
        <f t="shared" si="20"/>
        <v>167.25870194423052</v>
      </c>
      <c r="AL25" s="265">
        <f t="shared" si="21"/>
        <v>55.752900648076832</v>
      </c>
      <c r="AM25" s="129"/>
      <c r="AN25" s="265">
        <f t="shared" si="22"/>
        <v>10.911750231456018</v>
      </c>
      <c r="AO25" s="129"/>
      <c r="AP25" s="138">
        <f t="shared" si="23"/>
        <v>42530.806500000006</v>
      </c>
      <c r="AQ25" s="138">
        <f t="shared" si="24"/>
        <v>60758.295000000013</v>
      </c>
      <c r="AR25" s="268">
        <f>사업개요!$C$7/사업개요!$C$3</f>
        <v>0</v>
      </c>
      <c r="AS25" s="269">
        <f t="shared" si="25"/>
        <v>1</v>
      </c>
      <c r="AT25" s="270">
        <f t="shared" si="7"/>
        <v>1E-3</v>
      </c>
      <c r="AU25" s="271">
        <f t="shared" si="8"/>
        <v>14.9</v>
      </c>
      <c r="AV25" s="138">
        <f t="shared" si="26"/>
        <v>27.630806500000006</v>
      </c>
      <c r="AW25" s="269">
        <f t="shared" si="9"/>
        <v>1</v>
      </c>
      <c r="AX25" s="138">
        <f t="shared" si="27"/>
        <v>27.630806500000006</v>
      </c>
      <c r="AY25" s="138">
        <f t="shared" si="28"/>
        <v>0</v>
      </c>
      <c r="AZ25" s="138"/>
      <c r="BA25" s="272">
        <f t="shared" si="29"/>
        <v>54.558751157280085</v>
      </c>
      <c r="BB25" s="272">
        <f t="shared" si="30"/>
        <v>0</v>
      </c>
      <c r="BC25" s="138">
        <f t="shared" si="31"/>
        <v>55.752900648076832</v>
      </c>
      <c r="BD25" s="268">
        <f t="shared" si="32"/>
        <v>10.911750231456018</v>
      </c>
      <c r="BE25" s="138">
        <f t="shared" si="33"/>
        <v>0</v>
      </c>
      <c r="BF25" s="138">
        <f t="shared" si="34"/>
        <v>121.22340203681293</v>
      </c>
      <c r="BG25" s="138">
        <f t="shared" si="35"/>
        <v>479.78916395288371</v>
      </c>
      <c r="BH25" s="138">
        <f t="shared" si="36"/>
        <v>234.78951333788621</v>
      </c>
      <c r="BI25" s="138">
        <f t="shared" si="37"/>
        <v>61.901546297317196</v>
      </c>
      <c r="BK25" s="31">
        <f>BL24</f>
        <v>6000</v>
      </c>
      <c r="BL25" s="31">
        <v>13000</v>
      </c>
      <c r="BM25" s="29">
        <v>5.0000000000000001E-4</v>
      </c>
      <c r="BN25" s="32">
        <v>0.6</v>
      </c>
      <c r="BO25" s="29">
        <v>9.9999999999999991E-5</v>
      </c>
      <c r="BP25" s="33">
        <v>0.6</v>
      </c>
      <c r="BQ25" s="33">
        <v>0.6</v>
      </c>
    </row>
    <row r="26" spans="1:69">
      <c r="A26" s="261" t="s">
        <v>290</v>
      </c>
      <c r="B26" s="262">
        <v>502</v>
      </c>
      <c r="C26" s="262">
        <v>1</v>
      </c>
      <c r="D26" s="263">
        <v>45.4</v>
      </c>
      <c r="E26" s="263">
        <v>76.569999999999993</v>
      </c>
      <c r="F26" s="256">
        <f t="shared" si="10"/>
        <v>4.5777875554577783</v>
      </c>
      <c r="G26" s="246">
        <f t="shared" ref="G26:G36" si="45">$G$40*D26/$D$40</f>
        <v>23.114826676714394</v>
      </c>
      <c r="H26" s="129"/>
      <c r="I26" s="171">
        <f t="shared" si="38"/>
        <v>2519</v>
      </c>
      <c r="J26" s="172">
        <f t="shared" si="11"/>
        <v>58226.248398643555</v>
      </c>
      <c r="K26" s="129"/>
      <c r="L26" s="172">
        <f t="shared" si="12"/>
        <v>60758.295000000013</v>
      </c>
      <c r="M26" s="172">
        <f t="shared" si="13"/>
        <v>793.50000000000023</v>
      </c>
      <c r="N26" s="4">
        <f t="shared" si="39"/>
        <v>690</v>
      </c>
      <c r="O26" s="173">
        <f t="shared" ref="O26:P26" si="46">O25</f>
        <v>1</v>
      </c>
      <c r="P26" s="173">
        <f t="shared" si="46"/>
        <v>1</v>
      </c>
      <c r="Q26" s="173">
        <f t="shared" ref="Q26:Q36" si="47">SUMPRODUCT(($BK$71:$BK$96&lt;I26)*(I26&lt;=$BL$71:$BL$96)*$BM$71:$BM$96)</f>
        <v>1.1500000000000004</v>
      </c>
      <c r="R26" s="129"/>
      <c r="S26" s="138">
        <f t="shared" ref="S26:S36" si="48">$S$40*D26/$D$40</f>
        <v>227562.85978806877</v>
      </c>
      <c r="T26" s="138">
        <f>S26*사업개요!$J$20</f>
        <v>182050.28783045502</v>
      </c>
      <c r="U26" s="138">
        <f>ROUND(T26*사업개요!$I$21,-3)</f>
        <v>91000</v>
      </c>
      <c r="V26" s="138">
        <f>ROUND((T26-U26)*사업개요!$I$22/12,0)</f>
        <v>364</v>
      </c>
      <c r="W26" s="138">
        <f t="shared" si="14"/>
        <v>284453.57473508595</v>
      </c>
      <c r="X26" s="130"/>
      <c r="Y26" s="11">
        <f t="shared" si="41"/>
        <v>0.8</v>
      </c>
      <c r="Z26" s="11">
        <f t="shared" si="42"/>
        <v>0.7</v>
      </c>
      <c r="AA26" s="265">
        <f t="shared" si="3"/>
        <v>159294.00185164812</v>
      </c>
      <c r="AB26" s="266">
        <f t="shared" si="4"/>
        <v>2.5000000000000001E-3</v>
      </c>
      <c r="AC26" s="267">
        <f t="shared" si="5"/>
        <v>180</v>
      </c>
      <c r="AD26" s="172">
        <f t="shared" si="15"/>
        <v>218.23500462912034</v>
      </c>
      <c r="AE26" s="264">
        <f t="shared" ref="AE26:AE36" si="49">SUMPRODUCT(($BK$49:$BK$52&lt;D26)*(D26&lt;=$BL$49:$BL$52)*$BM$49:$BM$52)</f>
        <v>0.75</v>
      </c>
      <c r="AF26" s="138">
        <f t="shared" si="16"/>
        <v>163.67625347184025</v>
      </c>
      <c r="AG26" s="265">
        <f t="shared" si="17"/>
        <v>54.558751157280085</v>
      </c>
      <c r="AH26" s="129"/>
      <c r="AI26" s="265">
        <f t="shared" si="18"/>
        <v>223.01160259230736</v>
      </c>
      <c r="AJ26" s="264">
        <f t="shared" si="19"/>
        <v>0.75</v>
      </c>
      <c r="AK26" s="265">
        <f t="shared" si="20"/>
        <v>167.25870194423052</v>
      </c>
      <c r="AL26" s="265">
        <f t="shared" si="21"/>
        <v>55.752900648076832</v>
      </c>
      <c r="AM26" s="129"/>
      <c r="AN26" s="265">
        <f t="shared" si="22"/>
        <v>10.911750231456018</v>
      </c>
      <c r="AO26" s="129"/>
      <c r="AP26" s="138">
        <f t="shared" si="23"/>
        <v>42530.806500000006</v>
      </c>
      <c r="AQ26" s="138">
        <f t="shared" si="24"/>
        <v>60758.295000000013</v>
      </c>
      <c r="AR26" s="268">
        <f>사업개요!$C$7/사업개요!$C$3</f>
        <v>0</v>
      </c>
      <c r="AS26" s="269">
        <f t="shared" si="25"/>
        <v>1</v>
      </c>
      <c r="AT26" s="270">
        <f t="shared" si="7"/>
        <v>1E-3</v>
      </c>
      <c r="AU26" s="271">
        <f t="shared" si="8"/>
        <v>14.9</v>
      </c>
      <c r="AV26" s="138">
        <f t="shared" si="26"/>
        <v>27.630806500000006</v>
      </c>
      <c r="AW26" s="269">
        <f t="shared" ref="AW26:AW36" si="50">SUMPRODUCT(($BK$49:$BK$52&lt;D26)*(D26&lt;=$BL$49:$BL$52)*$BO$49:$BO$52)</f>
        <v>1</v>
      </c>
      <c r="AX26" s="138">
        <f t="shared" si="27"/>
        <v>27.630806500000006</v>
      </c>
      <c r="AY26" s="138">
        <f t="shared" si="28"/>
        <v>0</v>
      </c>
      <c r="AZ26" s="138"/>
      <c r="BA26" s="272">
        <f t="shared" si="29"/>
        <v>54.558751157280085</v>
      </c>
      <c r="BB26" s="272">
        <f t="shared" si="30"/>
        <v>0</v>
      </c>
      <c r="BC26" s="138">
        <f t="shared" si="31"/>
        <v>55.752900648076832</v>
      </c>
      <c r="BD26" s="268">
        <f t="shared" si="32"/>
        <v>10.911750231456018</v>
      </c>
      <c r="BE26" s="138">
        <f t="shared" si="33"/>
        <v>0</v>
      </c>
      <c r="BF26" s="138">
        <f t="shared" si="34"/>
        <v>121.22340203681293</v>
      </c>
      <c r="BG26" s="138">
        <f t="shared" si="35"/>
        <v>479.78916395288371</v>
      </c>
      <c r="BH26" s="138">
        <f t="shared" si="36"/>
        <v>234.78951333788621</v>
      </c>
      <c r="BI26" s="138">
        <f t="shared" si="37"/>
        <v>61.901546297317196</v>
      </c>
      <c r="BK26" s="31"/>
      <c r="BL26" s="31"/>
      <c r="BM26" s="29"/>
      <c r="BN26" s="32"/>
      <c r="BO26" s="29"/>
      <c r="BP26" s="33"/>
      <c r="BQ26" s="33"/>
    </row>
    <row r="27" spans="1:69">
      <c r="A27" s="261" t="s">
        <v>291</v>
      </c>
      <c r="B27" s="262">
        <v>503</v>
      </c>
      <c r="C27" s="262">
        <v>1</v>
      </c>
      <c r="D27" s="263">
        <v>55.82</v>
      </c>
      <c r="E27" s="263">
        <v>93.99</v>
      </c>
      <c r="F27" s="256">
        <f t="shared" si="10"/>
        <v>5.6284603820628449</v>
      </c>
      <c r="G27" s="246">
        <f t="shared" si="45"/>
        <v>28.420035795026372</v>
      </c>
      <c r="H27" s="129"/>
      <c r="I27" s="171">
        <f t="shared" si="38"/>
        <v>2519</v>
      </c>
      <c r="J27" s="172">
        <f t="shared" si="11"/>
        <v>71590.070167671438</v>
      </c>
      <c r="K27" s="129"/>
      <c r="L27" s="172">
        <f t="shared" si="12"/>
        <v>74581.065000000017</v>
      </c>
      <c r="M27" s="172">
        <f t="shared" si="13"/>
        <v>793.50000000000023</v>
      </c>
      <c r="N27" s="4">
        <f t="shared" si="39"/>
        <v>690</v>
      </c>
      <c r="O27" s="173">
        <f t="shared" ref="O27:P27" si="51">O26</f>
        <v>1</v>
      </c>
      <c r="P27" s="173">
        <f t="shared" si="51"/>
        <v>1</v>
      </c>
      <c r="Q27" s="173">
        <f t="shared" si="47"/>
        <v>1.1500000000000004</v>
      </c>
      <c r="R27" s="129"/>
      <c r="S27" s="138">
        <f t="shared" si="48"/>
        <v>279792.04478788545</v>
      </c>
      <c r="T27" s="138">
        <f>S27*사업개요!$J$20</f>
        <v>223833.63583030837</v>
      </c>
      <c r="U27" s="138">
        <f>ROUND(T27*사업개요!$I$21,-3)</f>
        <v>112000</v>
      </c>
      <c r="V27" s="138">
        <f>ROUND((T27-U27)*사업개요!$I$22/12,0)</f>
        <v>447</v>
      </c>
      <c r="W27" s="138">
        <f t="shared" si="14"/>
        <v>349740.05598485679</v>
      </c>
      <c r="X27" s="130"/>
      <c r="Y27" s="11">
        <f t="shared" si="41"/>
        <v>0.8</v>
      </c>
      <c r="Z27" s="11">
        <f t="shared" si="42"/>
        <v>0.7</v>
      </c>
      <c r="AA27" s="265">
        <f t="shared" si="3"/>
        <v>195854.4313515198</v>
      </c>
      <c r="AB27" s="266">
        <f t="shared" si="4"/>
        <v>2.5000000000000001E-3</v>
      </c>
      <c r="AC27" s="267">
        <f t="shared" si="5"/>
        <v>180</v>
      </c>
      <c r="AD27" s="172">
        <f t="shared" si="15"/>
        <v>309.63607837879954</v>
      </c>
      <c r="AE27" s="264">
        <f t="shared" si="49"/>
        <v>0.75</v>
      </c>
      <c r="AF27" s="138">
        <f t="shared" si="16"/>
        <v>232.22705878409965</v>
      </c>
      <c r="AG27" s="265">
        <f t="shared" si="17"/>
        <v>77.409019594699885</v>
      </c>
      <c r="AH27" s="129"/>
      <c r="AI27" s="265">
        <f t="shared" si="18"/>
        <v>274.19620389212776</v>
      </c>
      <c r="AJ27" s="264">
        <f t="shared" si="19"/>
        <v>0.75</v>
      </c>
      <c r="AK27" s="265">
        <f t="shared" si="20"/>
        <v>205.64715291909582</v>
      </c>
      <c r="AL27" s="265">
        <f t="shared" si="21"/>
        <v>68.549050973031939</v>
      </c>
      <c r="AM27" s="129"/>
      <c r="AN27" s="265">
        <f t="shared" si="22"/>
        <v>15.481803918939978</v>
      </c>
      <c r="AO27" s="129"/>
      <c r="AP27" s="138">
        <f t="shared" si="23"/>
        <v>52206.745500000012</v>
      </c>
      <c r="AQ27" s="138">
        <f t="shared" si="24"/>
        <v>74581.065000000017</v>
      </c>
      <c r="AR27" s="268">
        <f>사업개요!$C$7/사업개요!$C$3</f>
        <v>0</v>
      </c>
      <c r="AS27" s="269">
        <f t="shared" si="25"/>
        <v>1</v>
      </c>
      <c r="AT27" s="270">
        <f t="shared" si="7"/>
        <v>1E-3</v>
      </c>
      <c r="AU27" s="271">
        <f t="shared" si="8"/>
        <v>14.9</v>
      </c>
      <c r="AV27" s="138">
        <f t="shared" si="26"/>
        <v>37.306745500000012</v>
      </c>
      <c r="AW27" s="269">
        <f t="shared" si="50"/>
        <v>1</v>
      </c>
      <c r="AX27" s="138">
        <f t="shared" si="27"/>
        <v>37.306745500000012</v>
      </c>
      <c r="AY27" s="138">
        <f t="shared" si="28"/>
        <v>0</v>
      </c>
      <c r="AZ27" s="138"/>
      <c r="BA27" s="272">
        <f t="shared" si="29"/>
        <v>77.409019594699885</v>
      </c>
      <c r="BB27" s="272">
        <f t="shared" si="30"/>
        <v>0</v>
      </c>
      <c r="BC27" s="138">
        <f t="shared" si="31"/>
        <v>68.549050973031939</v>
      </c>
      <c r="BD27" s="268">
        <f t="shared" si="32"/>
        <v>15.481803918939978</v>
      </c>
      <c r="BE27" s="138">
        <f t="shared" si="33"/>
        <v>0</v>
      </c>
      <c r="BF27" s="138">
        <f t="shared" si="34"/>
        <v>161.43987448667181</v>
      </c>
      <c r="BG27" s="138">
        <f t="shared" si="35"/>
        <v>636.62083168986726</v>
      </c>
      <c r="BH27" s="138">
        <f t="shared" si="36"/>
        <v>311.79705869150894</v>
      </c>
      <c r="BI27" s="138">
        <f t="shared" si="37"/>
        <v>82.37165127623139</v>
      </c>
      <c r="BK27" s="31"/>
      <c r="BL27" s="31"/>
      <c r="BM27" s="29"/>
      <c r="BN27" s="32"/>
      <c r="BO27" s="29"/>
      <c r="BP27" s="33"/>
      <c r="BQ27" s="33"/>
    </row>
    <row r="28" spans="1:69">
      <c r="A28" s="261" t="s">
        <v>291</v>
      </c>
      <c r="B28" s="262">
        <v>504</v>
      </c>
      <c r="C28" s="262">
        <v>1</v>
      </c>
      <c r="D28" s="263">
        <v>55.82</v>
      </c>
      <c r="E28" s="263">
        <v>93.99</v>
      </c>
      <c r="F28" s="256">
        <f t="shared" si="10"/>
        <v>5.6284603820628449</v>
      </c>
      <c r="G28" s="246">
        <f t="shared" si="45"/>
        <v>28.420035795026372</v>
      </c>
      <c r="H28" s="129"/>
      <c r="I28" s="171">
        <f t="shared" si="38"/>
        <v>2519</v>
      </c>
      <c r="J28" s="172">
        <f t="shared" si="11"/>
        <v>71590.070167671438</v>
      </c>
      <c r="K28" s="129"/>
      <c r="L28" s="172">
        <f t="shared" si="12"/>
        <v>74581.065000000017</v>
      </c>
      <c r="M28" s="172">
        <f t="shared" si="13"/>
        <v>793.50000000000023</v>
      </c>
      <c r="N28" s="4">
        <f t="shared" si="39"/>
        <v>690</v>
      </c>
      <c r="O28" s="173">
        <f t="shared" ref="O28:P28" si="52">O27</f>
        <v>1</v>
      </c>
      <c r="P28" s="173">
        <f t="shared" si="52"/>
        <v>1</v>
      </c>
      <c r="Q28" s="173">
        <f t="shared" si="47"/>
        <v>1.1500000000000004</v>
      </c>
      <c r="R28" s="129"/>
      <c r="S28" s="138">
        <f t="shared" si="48"/>
        <v>279792.04478788545</v>
      </c>
      <c r="T28" s="138">
        <f>S28*사업개요!$J$20</f>
        <v>223833.63583030837</v>
      </c>
      <c r="U28" s="138">
        <f>ROUND(T28*사업개요!$I$21,-3)</f>
        <v>112000</v>
      </c>
      <c r="V28" s="138">
        <f>ROUND((T28-U28)*사업개요!$I$22/12,0)</f>
        <v>447</v>
      </c>
      <c r="W28" s="138">
        <f t="shared" si="14"/>
        <v>349740.05598485679</v>
      </c>
      <c r="X28" s="130"/>
      <c r="Y28" s="11">
        <f t="shared" si="41"/>
        <v>0.8</v>
      </c>
      <c r="Z28" s="11">
        <f t="shared" si="42"/>
        <v>0.7</v>
      </c>
      <c r="AA28" s="265">
        <f t="shared" si="3"/>
        <v>195854.4313515198</v>
      </c>
      <c r="AB28" s="266">
        <f t="shared" si="4"/>
        <v>2.5000000000000001E-3</v>
      </c>
      <c r="AC28" s="267">
        <f t="shared" si="5"/>
        <v>180</v>
      </c>
      <c r="AD28" s="172">
        <f t="shared" si="15"/>
        <v>309.63607837879954</v>
      </c>
      <c r="AE28" s="264">
        <f t="shared" si="49"/>
        <v>0.75</v>
      </c>
      <c r="AF28" s="138">
        <f t="shared" si="16"/>
        <v>232.22705878409965</v>
      </c>
      <c r="AG28" s="265">
        <f t="shared" si="17"/>
        <v>77.409019594699885</v>
      </c>
      <c r="AH28" s="129"/>
      <c r="AI28" s="265">
        <f t="shared" si="18"/>
        <v>274.19620389212776</v>
      </c>
      <c r="AJ28" s="264">
        <f t="shared" si="19"/>
        <v>0.75</v>
      </c>
      <c r="AK28" s="265">
        <f t="shared" si="20"/>
        <v>205.64715291909582</v>
      </c>
      <c r="AL28" s="265">
        <f t="shared" si="21"/>
        <v>68.549050973031939</v>
      </c>
      <c r="AM28" s="129"/>
      <c r="AN28" s="265">
        <f t="shared" si="22"/>
        <v>15.481803918939978</v>
      </c>
      <c r="AO28" s="129"/>
      <c r="AP28" s="138">
        <f t="shared" si="23"/>
        <v>52206.745500000012</v>
      </c>
      <c r="AQ28" s="138">
        <f t="shared" si="24"/>
        <v>74581.065000000017</v>
      </c>
      <c r="AR28" s="268">
        <f>사업개요!$C$7/사업개요!$C$3</f>
        <v>0</v>
      </c>
      <c r="AS28" s="269">
        <f t="shared" si="25"/>
        <v>1</v>
      </c>
      <c r="AT28" s="270">
        <f t="shared" si="7"/>
        <v>1E-3</v>
      </c>
      <c r="AU28" s="271">
        <f t="shared" si="8"/>
        <v>14.9</v>
      </c>
      <c r="AV28" s="138">
        <f t="shared" si="26"/>
        <v>37.306745500000012</v>
      </c>
      <c r="AW28" s="269">
        <f t="shared" si="50"/>
        <v>1</v>
      </c>
      <c r="AX28" s="138">
        <f t="shared" si="27"/>
        <v>37.306745500000012</v>
      </c>
      <c r="AY28" s="138">
        <f t="shared" si="28"/>
        <v>0</v>
      </c>
      <c r="AZ28" s="138"/>
      <c r="BA28" s="272">
        <f t="shared" si="29"/>
        <v>77.409019594699885</v>
      </c>
      <c r="BB28" s="272">
        <f t="shared" si="30"/>
        <v>0</v>
      </c>
      <c r="BC28" s="138">
        <f t="shared" si="31"/>
        <v>68.549050973031939</v>
      </c>
      <c r="BD28" s="268">
        <f t="shared" si="32"/>
        <v>15.481803918939978</v>
      </c>
      <c r="BE28" s="138">
        <f t="shared" si="33"/>
        <v>0</v>
      </c>
      <c r="BF28" s="138">
        <f t="shared" si="34"/>
        <v>161.43987448667181</v>
      </c>
      <c r="BG28" s="138">
        <f t="shared" si="35"/>
        <v>636.62083168986726</v>
      </c>
      <c r="BH28" s="138">
        <f t="shared" si="36"/>
        <v>311.79705869150894</v>
      </c>
      <c r="BI28" s="138">
        <f t="shared" si="37"/>
        <v>82.37165127623139</v>
      </c>
      <c r="BK28" s="31"/>
      <c r="BL28" s="31"/>
      <c r="BM28" s="29"/>
      <c r="BN28" s="32"/>
      <c r="BO28" s="29"/>
      <c r="BP28" s="33"/>
      <c r="BQ28" s="33"/>
    </row>
    <row r="29" spans="1:69">
      <c r="A29" s="261" t="s">
        <v>290</v>
      </c>
      <c r="B29" s="262">
        <v>601</v>
      </c>
      <c r="C29" s="262">
        <v>1</v>
      </c>
      <c r="D29" s="263">
        <v>45.4</v>
      </c>
      <c r="E29" s="263">
        <v>76.569999999999993</v>
      </c>
      <c r="F29" s="256">
        <f t="shared" si="10"/>
        <v>4.5777875554577783</v>
      </c>
      <c r="G29" s="246">
        <f t="shared" si="45"/>
        <v>23.114826676714394</v>
      </c>
      <c r="H29" s="129"/>
      <c r="I29" s="171">
        <f t="shared" si="38"/>
        <v>2519</v>
      </c>
      <c r="J29" s="172">
        <f t="shared" si="11"/>
        <v>58226.248398643555</v>
      </c>
      <c r="K29" s="129"/>
      <c r="L29" s="172">
        <f t="shared" si="12"/>
        <v>60758.295000000013</v>
      </c>
      <c r="M29" s="172">
        <f t="shared" si="13"/>
        <v>793.50000000000023</v>
      </c>
      <c r="N29" s="4">
        <f t="shared" si="39"/>
        <v>690</v>
      </c>
      <c r="O29" s="173">
        <f t="shared" ref="O29:P29" si="53">O28</f>
        <v>1</v>
      </c>
      <c r="P29" s="173">
        <f t="shared" si="53"/>
        <v>1</v>
      </c>
      <c r="Q29" s="173">
        <f t="shared" si="47"/>
        <v>1.1500000000000004</v>
      </c>
      <c r="R29" s="129"/>
      <c r="S29" s="138">
        <f t="shared" si="48"/>
        <v>227562.85978806877</v>
      </c>
      <c r="T29" s="138">
        <f>S29*사업개요!$J$20</f>
        <v>182050.28783045502</v>
      </c>
      <c r="U29" s="138">
        <f>ROUND(T29*사업개요!$I$21,-3)</f>
        <v>91000</v>
      </c>
      <c r="V29" s="138">
        <f>ROUND((T29-U29)*사업개요!$I$22/12,0)</f>
        <v>364</v>
      </c>
      <c r="W29" s="138">
        <f t="shared" si="14"/>
        <v>284453.57473508595</v>
      </c>
      <c r="X29" s="130"/>
      <c r="Y29" s="11">
        <f t="shared" si="41"/>
        <v>0.8</v>
      </c>
      <c r="Z29" s="11">
        <f t="shared" si="42"/>
        <v>0.7</v>
      </c>
      <c r="AA29" s="265">
        <f t="shared" si="3"/>
        <v>159294.00185164812</v>
      </c>
      <c r="AB29" s="266">
        <f t="shared" si="4"/>
        <v>2.5000000000000001E-3</v>
      </c>
      <c r="AC29" s="267">
        <f t="shared" si="5"/>
        <v>180</v>
      </c>
      <c r="AD29" s="172">
        <f t="shared" si="15"/>
        <v>218.23500462912034</v>
      </c>
      <c r="AE29" s="264">
        <f t="shared" si="49"/>
        <v>0.75</v>
      </c>
      <c r="AF29" s="138">
        <f t="shared" si="16"/>
        <v>163.67625347184025</v>
      </c>
      <c r="AG29" s="265">
        <f t="shared" si="17"/>
        <v>54.558751157280085</v>
      </c>
      <c r="AH29" s="129"/>
      <c r="AI29" s="265">
        <f t="shared" si="18"/>
        <v>223.01160259230736</v>
      </c>
      <c r="AJ29" s="264">
        <f t="shared" si="19"/>
        <v>0.75</v>
      </c>
      <c r="AK29" s="265">
        <f t="shared" si="20"/>
        <v>167.25870194423052</v>
      </c>
      <c r="AL29" s="265">
        <f t="shared" si="21"/>
        <v>55.752900648076832</v>
      </c>
      <c r="AM29" s="129"/>
      <c r="AN29" s="265">
        <f t="shared" si="22"/>
        <v>10.911750231456018</v>
      </c>
      <c r="AO29" s="129"/>
      <c r="AP29" s="138">
        <f t="shared" si="23"/>
        <v>42530.806500000006</v>
      </c>
      <c r="AQ29" s="138">
        <f t="shared" si="24"/>
        <v>60758.295000000013</v>
      </c>
      <c r="AR29" s="268">
        <f>사업개요!$C$7/사업개요!$C$3</f>
        <v>0</v>
      </c>
      <c r="AS29" s="269">
        <f t="shared" si="25"/>
        <v>1</v>
      </c>
      <c r="AT29" s="270">
        <f t="shared" si="7"/>
        <v>1E-3</v>
      </c>
      <c r="AU29" s="271">
        <f t="shared" si="8"/>
        <v>14.9</v>
      </c>
      <c r="AV29" s="138">
        <f t="shared" si="26"/>
        <v>27.630806500000006</v>
      </c>
      <c r="AW29" s="269">
        <f t="shared" si="50"/>
        <v>1</v>
      </c>
      <c r="AX29" s="138">
        <f t="shared" si="27"/>
        <v>27.630806500000006</v>
      </c>
      <c r="AY29" s="138">
        <f t="shared" si="28"/>
        <v>0</v>
      </c>
      <c r="AZ29" s="138"/>
      <c r="BA29" s="272">
        <f t="shared" si="29"/>
        <v>54.558751157280085</v>
      </c>
      <c r="BB29" s="272">
        <f t="shared" si="30"/>
        <v>0</v>
      </c>
      <c r="BC29" s="138">
        <f t="shared" si="31"/>
        <v>55.752900648076832</v>
      </c>
      <c r="BD29" s="268">
        <f t="shared" si="32"/>
        <v>10.911750231456018</v>
      </c>
      <c r="BE29" s="138">
        <f t="shared" si="33"/>
        <v>0</v>
      </c>
      <c r="BF29" s="138">
        <f t="shared" si="34"/>
        <v>121.22340203681293</v>
      </c>
      <c r="BG29" s="138">
        <f t="shared" si="35"/>
        <v>479.78916395288371</v>
      </c>
      <c r="BH29" s="138">
        <f t="shared" si="36"/>
        <v>234.78951333788621</v>
      </c>
      <c r="BI29" s="138">
        <f t="shared" si="37"/>
        <v>61.901546297317196</v>
      </c>
      <c r="BK29" s="31"/>
      <c r="BL29" s="31"/>
      <c r="BM29" s="29"/>
      <c r="BN29" s="32"/>
      <c r="BO29" s="29"/>
      <c r="BP29" s="33"/>
      <c r="BQ29" s="33"/>
    </row>
    <row r="30" spans="1:69">
      <c r="A30" s="261" t="s">
        <v>290</v>
      </c>
      <c r="B30" s="262">
        <v>602</v>
      </c>
      <c r="C30" s="262">
        <v>1</v>
      </c>
      <c r="D30" s="263">
        <v>45.4</v>
      </c>
      <c r="E30" s="263">
        <v>76.569999999999993</v>
      </c>
      <c r="F30" s="256">
        <f t="shared" si="10"/>
        <v>4.5777875554577783</v>
      </c>
      <c r="G30" s="246">
        <f t="shared" si="45"/>
        <v>23.114826676714394</v>
      </c>
      <c r="H30" s="129"/>
      <c r="I30" s="171">
        <f t="shared" si="38"/>
        <v>2519</v>
      </c>
      <c r="J30" s="172">
        <f t="shared" si="11"/>
        <v>58226.248398643555</v>
      </c>
      <c r="K30" s="129"/>
      <c r="L30" s="172">
        <f t="shared" si="12"/>
        <v>60758.295000000013</v>
      </c>
      <c r="M30" s="172">
        <f t="shared" si="13"/>
        <v>793.50000000000023</v>
      </c>
      <c r="N30" s="4">
        <f t="shared" si="39"/>
        <v>690</v>
      </c>
      <c r="O30" s="173">
        <f t="shared" ref="O30:P30" si="54">O29</f>
        <v>1</v>
      </c>
      <c r="P30" s="173">
        <f t="shared" si="54"/>
        <v>1</v>
      </c>
      <c r="Q30" s="173">
        <f t="shared" si="47"/>
        <v>1.1500000000000004</v>
      </c>
      <c r="R30" s="129"/>
      <c r="S30" s="138">
        <f t="shared" si="48"/>
        <v>227562.85978806877</v>
      </c>
      <c r="T30" s="138">
        <f>S30*사업개요!$J$20</f>
        <v>182050.28783045502</v>
      </c>
      <c r="U30" s="138">
        <f>ROUND(T30*사업개요!$I$21,-3)</f>
        <v>91000</v>
      </c>
      <c r="V30" s="138">
        <f>ROUND((T30-U30)*사업개요!$I$22/12,0)</f>
        <v>364</v>
      </c>
      <c r="W30" s="138">
        <f t="shared" si="14"/>
        <v>284453.57473508595</v>
      </c>
      <c r="X30" s="130"/>
      <c r="Y30" s="11">
        <f t="shared" si="41"/>
        <v>0.8</v>
      </c>
      <c r="Z30" s="11">
        <f t="shared" si="42"/>
        <v>0.7</v>
      </c>
      <c r="AA30" s="265">
        <f t="shared" si="3"/>
        <v>159294.00185164812</v>
      </c>
      <c r="AB30" s="266">
        <f t="shared" si="4"/>
        <v>2.5000000000000001E-3</v>
      </c>
      <c r="AC30" s="267">
        <f t="shared" si="5"/>
        <v>180</v>
      </c>
      <c r="AD30" s="172">
        <f t="shared" si="15"/>
        <v>218.23500462912034</v>
      </c>
      <c r="AE30" s="264">
        <f t="shared" si="49"/>
        <v>0.75</v>
      </c>
      <c r="AF30" s="138">
        <f t="shared" si="16"/>
        <v>163.67625347184025</v>
      </c>
      <c r="AG30" s="265">
        <f t="shared" si="17"/>
        <v>54.558751157280085</v>
      </c>
      <c r="AH30" s="129"/>
      <c r="AI30" s="265">
        <f t="shared" si="18"/>
        <v>223.01160259230736</v>
      </c>
      <c r="AJ30" s="264">
        <f t="shared" si="19"/>
        <v>0.75</v>
      </c>
      <c r="AK30" s="265">
        <f t="shared" si="20"/>
        <v>167.25870194423052</v>
      </c>
      <c r="AL30" s="265">
        <f t="shared" si="21"/>
        <v>55.752900648076832</v>
      </c>
      <c r="AM30" s="129"/>
      <c r="AN30" s="265">
        <f t="shared" si="22"/>
        <v>10.911750231456018</v>
      </c>
      <c r="AO30" s="129"/>
      <c r="AP30" s="138">
        <f t="shared" si="23"/>
        <v>42530.806500000006</v>
      </c>
      <c r="AQ30" s="138">
        <f t="shared" si="24"/>
        <v>60758.295000000013</v>
      </c>
      <c r="AR30" s="268">
        <f>사업개요!$C$7/사업개요!$C$3</f>
        <v>0</v>
      </c>
      <c r="AS30" s="269">
        <f t="shared" si="25"/>
        <v>1</v>
      </c>
      <c r="AT30" s="270">
        <f t="shared" si="7"/>
        <v>1E-3</v>
      </c>
      <c r="AU30" s="271">
        <f t="shared" si="8"/>
        <v>14.9</v>
      </c>
      <c r="AV30" s="138">
        <f t="shared" si="26"/>
        <v>27.630806500000006</v>
      </c>
      <c r="AW30" s="269">
        <f t="shared" si="50"/>
        <v>1</v>
      </c>
      <c r="AX30" s="138">
        <f t="shared" si="27"/>
        <v>27.630806500000006</v>
      </c>
      <c r="AY30" s="138">
        <f t="shared" si="28"/>
        <v>0</v>
      </c>
      <c r="AZ30" s="138"/>
      <c r="BA30" s="272">
        <f t="shared" si="29"/>
        <v>54.558751157280085</v>
      </c>
      <c r="BB30" s="272">
        <f t="shared" si="30"/>
        <v>0</v>
      </c>
      <c r="BC30" s="138">
        <f t="shared" si="31"/>
        <v>55.752900648076832</v>
      </c>
      <c r="BD30" s="268">
        <f t="shared" si="32"/>
        <v>10.911750231456018</v>
      </c>
      <c r="BE30" s="138">
        <f t="shared" si="33"/>
        <v>0</v>
      </c>
      <c r="BF30" s="138">
        <f t="shared" si="34"/>
        <v>121.22340203681293</v>
      </c>
      <c r="BG30" s="138">
        <f t="shared" si="35"/>
        <v>479.78916395288371</v>
      </c>
      <c r="BH30" s="138">
        <f t="shared" si="36"/>
        <v>234.78951333788621</v>
      </c>
      <c r="BI30" s="138">
        <f t="shared" si="37"/>
        <v>61.901546297317196</v>
      </c>
      <c r="BK30" s="31"/>
      <c r="BL30" s="31"/>
      <c r="BM30" s="29"/>
      <c r="BN30" s="32"/>
      <c r="BO30" s="29"/>
      <c r="BP30" s="33"/>
      <c r="BQ30" s="33"/>
    </row>
    <row r="31" spans="1:69">
      <c r="A31" s="261" t="s">
        <v>291</v>
      </c>
      <c r="B31" s="262">
        <v>603</v>
      </c>
      <c r="C31" s="262">
        <v>1</v>
      </c>
      <c r="D31" s="263">
        <v>55.82</v>
      </c>
      <c r="E31" s="263">
        <v>93.99</v>
      </c>
      <c r="F31" s="256">
        <f t="shared" si="10"/>
        <v>5.6284603820628449</v>
      </c>
      <c r="G31" s="246">
        <f t="shared" si="45"/>
        <v>28.420035795026372</v>
      </c>
      <c r="H31" s="129"/>
      <c r="I31" s="171">
        <f t="shared" si="38"/>
        <v>2519</v>
      </c>
      <c r="J31" s="172">
        <f t="shared" si="11"/>
        <v>71590.070167671438</v>
      </c>
      <c r="K31" s="129"/>
      <c r="L31" s="172">
        <f t="shared" si="12"/>
        <v>74581.065000000017</v>
      </c>
      <c r="M31" s="172">
        <f t="shared" si="13"/>
        <v>793.50000000000023</v>
      </c>
      <c r="N31" s="4">
        <f t="shared" si="39"/>
        <v>690</v>
      </c>
      <c r="O31" s="173">
        <f t="shared" ref="O31:P31" si="55">O30</f>
        <v>1</v>
      </c>
      <c r="P31" s="173">
        <f t="shared" si="55"/>
        <v>1</v>
      </c>
      <c r="Q31" s="173">
        <f t="shared" si="47"/>
        <v>1.1500000000000004</v>
      </c>
      <c r="R31" s="129"/>
      <c r="S31" s="138">
        <f t="shared" si="48"/>
        <v>279792.04478788545</v>
      </c>
      <c r="T31" s="138">
        <f>S31*사업개요!$J$20</f>
        <v>223833.63583030837</v>
      </c>
      <c r="U31" s="138">
        <f>ROUND(T31*사업개요!$I$21,-3)</f>
        <v>112000</v>
      </c>
      <c r="V31" s="138">
        <f>ROUND((T31-U31)*사업개요!$I$22/12,0)</f>
        <v>447</v>
      </c>
      <c r="W31" s="138">
        <f t="shared" si="14"/>
        <v>349740.05598485679</v>
      </c>
      <c r="X31" s="130"/>
      <c r="Y31" s="11">
        <f t="shared" si="41"/>
        <v>0.8</v>
      </c>
      <c r="Z31" s="11">
        <f t="shared" si="42"/>
        <v>0.7</v>
      </c>
      <c r="AA31" s="265">
        <f t="shared" si="3"/>
        <v>195854.4313515198</v>
      </c>
      <c r="AB31" s="266">
        <f t="shared" si="4"/>
        <v>2.5000000000000001E-3</v>
      </c>
      <c r="AC31" s="267">
        <f t="shared" si="5"/>
        <v>180</v>
      </c>
      <c r="AD31" s="172">
        <f t="shared" si="15"/>
        <v>309.63607837879954</v>
      </c>
      <c r="AE31" s="264">
        <f t="shared" si="49"/>
        <v>0.75</v>
      </c>
      <c r="AF31" s="138">
        <f t="shared" si="16"/>
        <v>232.22705878409965</v>
      </c>
      <c r="AG31" s="265">
        <f t="shared" si="17"/>
        <v>77.409019594699885</v>
      </c>
      <c r="AH31" s="129"/>
      <c r="AI31" s="265">
        <f t="shared" si="18"/>
        <v>274.19620389212776</v>
      </c>
      <c r="AJ31" s="264">
        <f t="shared" si="19"/>
        <v>0.75</v>
      </c>
      <c r="AK31" s="265">
        <f t="shared" si="20"/>
        <v>205.64715291909582</v>
      </c>
      <c r="AL31" s="265">
        <f t="shared" si="21"/>
        <v>68.549050973031939</v>
      </c>
      <c r="AM31" s="129"/>
      <c r="AN31" s="265">
        <f t="shared" si="22"/>
        <v>15.481803918939978</v>
      </c>
      <c r="AO31" s="129"/>
      <c r="AP31" s="138">
        <f t="shared" si="23"/>
        <v>52206.745500000012</v>
      </c>
      <c r="AQ31" s="138">
        <f t="shared" si="24"/>
        <v>74581.065000000017</v>
      </c>
      <c r="AR31" s="268">
        <f>사업개요!$C$7/사업개요!$C$3</f>
        <v>0</v>
      </c>
      <c r="AS31" s="269">
        <f t="shared" si="25"/>
        <v>1</v>
      </c>
      <c r="AT31" s="270">
        <f t="shared" si="7"/>
        <v>1E-3</v>
      </c>
      <c r="AU31" s="271">
        <f t="shared" si="8"/>
        <v>14.9</v>
      </c>
      <c r="AV31" s="138">
        <f t="shared" si="26"/>
        <v>37.306745500000012</v>
      </c>
      <c r="AW31" s="269">
        <f t="shared" si="50"/>
        <v>1</v>
      </c>
      <c r="AX31" s="138">
        <f t="shared" si="27"/>
        <v>37.306745500000012</v>
      </c>
      <c r="AY31" s="138">
        <f t="shared" si="28"/>
        <v>0</v>
      </c>
      <c r="AZ31" s="138"/>
      <c r="BA31" s="272">
        <f t="shared" si="29"/>
        <v>77.409019594699885</v>
      </c>
      <c r="BB31" s="272">
        <f t="shared" si="30"/>
        <v>0</v>
      </c>
      <c r="BC31" s="138">
        <f t="shared" si="31"/>
        <v>68.549050973031939</v>
      </c>
      <c r="BD31" s="268">
        <f t="shared" si="32"/>
        <v>15.481803918939978</v>
      </c>
      <c r="BE31" s="138">
        <f t="shared" si="33"/>
        <v>0</v>
      </c>
      <c r="BF31" s="138">
        <f t="shared" si="34"/>
        <v>161.43987448667181</v>
      </c>
      <c r="BG31" s="138">
        <f t="shared" si="35"/>
        <v>636.62083168986726</v>
      </c>
      <c r="BH31" s="138">
        <f t="shared" si="36"/>
        <v>311.79705869150894</v>
      </c>
      <c r="BI31" s="138">
        <f t="shared" si="37"/>
        <v>82.37165127623139</v>
      </c>
      <c r="BK31" s="31"/>
      <c r="BL31" s="31"/>
      <c r="BM31" s="29"/>
      <c r="BN31" s="32"/>
      <c r="BO31" s="29"/>
      <c r="BP31" s="33"/>
      <c r="BQ31" s="33"/>
    </row>
    <row r="32" spans="1:69">
      <c r="A32" s="261" t="s">
        <v>291</v>
      </c>
      <c r="B32" s="262">
        <v>604</v>
      </c>
      <c r="C32" s="262">
        <v>1</v>
      </c>
      <c r="D32" s="263">
        <v>55.82</v>
      </c>
      <c r="E32" s="263">
        <v>93.99</v>
      </c>
      <c r="F32" s="256">
        <f t="shared" si="10"/>
        <v>5.6284603820628449</v>
      </c>
      <c r="G32" s="246">
        <f t="shared" si="45"/>
        <v>28.420035795026372</v>
      </c>
      <c r="H32" s="129"/>
      <c r="I32" s="171">
        <f t="shared" si="38"/>
        <v>2519</v>
      </c>
      <c r="J32" s="172">
        <f t="shared" si="11"/>
        <v>71590.070167671438</v>
      </c>
      <c r="K32" s="129"/>
      <c r="L32" s="172">
        <f t="shared" si="12"/>
        <v>74581.065000000017</v>
      </c>
      <c r="M32" s="172">
        <f t="shared" si="13"/>
        <v>793.50000000000023</v>
      </c>
      <c r="N32" s="4">
        <f t="shared" si="39"/>
        <v>690</v>
      </c>
      <c r="O32" s="173">
        <f t="shared" ref="O32:P32" si="56">O31</f>
        <v>1</v>
      </c>
      <c r="P32" s="173">
        <f t="shared" si="56"/>
        <v>1</v>
      </c>
      <c r="Q32" s="173">
        <f t="shared" si="47"/>
        <v>1.1500000000000004</v>
      </c>
      <c r="R32" s="129"/>
      <c r="S32" s="138">
        <f t="shared" si="48"/>
        <v>279792.04478788545</v>
      </c>
      <c r="T32" s="138">
        <f>S32*사업개요!$J$20</f>
        <v>223833.63583030837</v>
      </c>
      <c r="U32" s="138">
        <f>ROUND(T32*사업개요!$I$21,-3)</f>
        <v>112000</v>
      </c>
      <c r="V32" s="138">
        <f>ROUND((T32-U32)*사업개요!$I$22/12,0)</f>
        <v>447</v>
      </c>
      <c r="W32" s="138">
        <f t="shared" si="14"/>
        <v>349740.05598485679</v>
      </c>
      <c r="X32" s="130"/>
      <c r="Y32" s="11">
        <f t="shared" si="41"/>
        <v>0.8</v>
      </c>
      <c r="Z32" s="11">
        <f t="shared" si="42"/>
        <v>0.7</v>
      </c>
      <c r="AA32" s="265">
        <f t="shared" si="3"/>
        <v>195854.4313515198</v>
      </c>
      <c r="AB32" s="266">
        <f t="shared" si="4"/>
        <v>2.5000000000000001E-3</v>
      </c>
      <c r="AC32" s="267">
        <f t="shared" si="5"/>
        <v>180</v>
      </c>
      <c r="AD32" s="172">
        <f t="shared" si="15"/>
        <v>309.63607837879954</v>
      </c>
      <c r="AE32" s="264">
        <f t="shared" si="49"/>
        <v>0.75</v>
      </c>
      <c r="AF32" s="138">
        <f t="shared" si="16"/>
        <v>232.22705878409965</v>
      </c>
      <c r="AG32" s="265">
        <f t="shared" si="17"/>
        <v>77.409019594699885</v>
      </c>
      <c r="AH32" s="129"/>
      <c r="AI32" s="265">
        <f t="shared" si="18"/>
        <v>274.19620389212776</v>
      </c>
      <c r="AJ32" s="264">
        <f t="shared" si="19"/>
        <v>0.75</v>
      </c>
      <c r="AK32" s="265">
        <f t="shared" si="20"/>
        <v>205.64715291909582</v>
      </c>
      <c r="AL32" s="265">
        <f t="shared" si="21"/>
        <v>68.549050973031939</v>
      </c>
      <c r="AM32" s="129"/>
      <c r="AN32" s="265">
        <f t="shared" si="22"/>
        <v>15.481803918939978</v>
      </c>
      <c r="AO32" s="129"/>
      <c r="AP32" s="138">
        <f t="shared" si="23"/>
        <v>52206.745500000012</v>
      </c>
      <c r="AQ32" s="138">
        <f t="shared" si="24"/>
        <v>74581.065000000017</v>
      </c>
      <c r="AR32" s="268">
        <f>사업개요!$C$7/사업개요!$C$3</f>
        <v>0</v>
      </c>
      <c r="AS32" s="269">
        <f t="shared" si="25"/>
        <v>1</v>
      </c>
      <c r="AT32" s="270">
        <f t="shared" si="7"/>
        <v>1E-3</v>
      </c>
      <c r="AU32" s="271">
        <f t="shared" si="8"/>
        <v>14.9</v>
      </c>
      <c r="AV32" s="138">
        <f t="shared" si="26"/>
        <v>37.306745500000012</v>
      </c>
      <c r="AW32" s="269">
        <f t="shared" si="50"/>
        <v>1</v>
      </c>
      <c r="AX32" s="138">
        <f t="shared" si="27"/>
        <v>37.306745500000012</v>
      </c>
      <c r="AY32" s="138">
        <f t="shared" si="28"/>
        <v>0</v>
      </c>
      <c r="AZ32" s="138"/>
      <c r="BA32" s="272">
        <f t="shared" si="29"/>
        <v>77.409019594699885</v>
      </c>
      <c r="BB32" s="272">
        <f t="shared" si="30"/>
        <v>0</v>
      </c>
      <c r="BC32" s="138">
        <f t="shared" si="31"/>
        <v>68.549050973031939</v>
      </c>
      <c r="BD32" s="268">
        <f t="shared" si="32"/>
        <v>15.481803918939978</v>
      </c>
      <c r="BE32" s="138">
        <f t="shared" si="33"/>
        <v>0</v>
      </c>
      <c r="BF32" s="138">
        <f t="shared" si="34"/>
        <v>161.43987448667181</v>
      </c>
      <c r="BG32" s="138">
        <f t="shared" si="35"/>
        <v>636.62083168986726</v>
      </c>
      <c r="BH32" s="138">
        <f t="shared" si="36"/>
        <v>311.79705869150894</v>
      </c>
      <c r="BI32" s="138">
        <f t="shared" si="37"/>
        <v>82.37165127623139</v>
      </c>
      <c r="BK32" s="31">
        <f>BL25</f>
        <v>13000</v>
      </c>
      <c r="BL32" s="31">
        <v>26000</v>
      </c>
      <c r="BM32" s="29">
        <v>5.9999999999999995E-4</v>
      </c>
      <c r="BN32" s="32">
        <v>1.899999999999999</v>
      </c>
      <c r="BO32" s="29">
        <v>9.9999999999999937E-5</v>
      </c>
      <c r="BP32" s="33">
        <v>1.2999999999999992</v>
      </c>
      <c r="BQ32" s="33">
        <v>1.899999999999999</v>
      </c>
    </row>
    <row r="33" spans="1:69">
      <c r="A33" s="261" t="s">
        <v>290</v>
      </c>
      <c r="B33" s="262">
        <v>701</v>
      </c>
      <c r="C33" s="262">
        <v>1</v>
      </c>
      <c r="D33" s="263">
        <v>45.4</v>
      </c>
      <c r="E33" s="263">
        <v>76.569999999999993</v>
      </c>
      <c r="F33" s="256">
        <f t="shared" si="10"/>
        <v>4.5777875554577783</v>
      </c>
      <c r="G33" s="246">
        <f t="shared" si="45"/>
        <v>23.114826676714394</v>
      </c>
      <c r="H33" s="129"/>
      <c r="I33" s="171">
        <f t="shared" si="38"/>
        <v>2519</v>
      </c>
      <c r="J33" s="172">
        <f t="shared" si="11"/>
        <v>58226.248398643555</v>
      </c>
      <c r="K33" s="129"/>
      <c r="L33" s="172">
        <f t="shared" si="12"/>
        <v>60758.295000000013</v>
      </c>
      <c r="M33" s="172">
        <f t="shared" si="13"/>
        <v>793.50000000000023</v>
      </c>
      <c r="N33" s="4">
        <f t="shared" si="39"/>
        <v>690</v>
      </c>
      <c r="O33" s="173">
        <f t="shared" ref="O33:P33" si="57">O32</f>
        <v>1</v>
      </c>
      <c r="P33" s="173">
        <f t="shared" si="57"/>
        <v>1</v>
      </c>
      <c r="Q33" s="173">
        <f t="shared" si="47"/>
        <v>1.1500000000000004</v>
      </c>
      <c r="R33" s="129"/>
      <c r="S33" s="138">
        <f t="shared" si="48"/>
        <v>227562.85978806877</v>
      </c>
      <c r="T33" s="138">
        <f>S33*사업개요!$J$20</f>
        <v>182050.28783045502</v>
      </c>
      <c r="U33" s="138">
        <f>ROUND(T33*사업개요!$I$21,-3)</f>
        <v>91000</v>
      </c>
      <c r="V33" s="138">
        <f>ROUND((T33-U33)*사업개요!$I$22/12,0)</f>
        <v>364</v>
      </c>
      <c r="W33" s="138">
        <f t="shared" si="14"/>
        <v>284453.57473508595</v>
      </c>
      <c r="X33" s="130"/>
      <c r="Y33" s="11">
        <f t="shared" si="41"/>
        <v>0.8</v>
      </c>
      <c r="Z33" s="11">
        <f t="shared" si="42"/>
        <v>0.7</v>
      </c>
      <c r="AA33" s="265">
        <f t="shared" si="3"/>
        <v>159294.00185164812</v>
      </c>
      <c r="AB33" s="266">
        <f t="shared" si="4"/>
        <v>2.5000000000000001E-3</v>
      </c>
      <c r="AC33" s="267">
        <f t="shared" si="5"/>
        <v>180</v>
      </c>
      <c r="AD33" s="172">
        <f t="shared" si="15"/>
        <v>218.23500462912034</v>
      </c>
      <c r="AE33" s="264">
        <f t="shared" si="49"/>
        <v>0.75</v>
      </c>
      <c r="AF33" s="138">
        <f t="shared" si="16"/>
        <v>163.67625347184025</v>
      </c>
      <c r="AG33" s="265">
        <f t="shared" si="17"/>
        <v>54.558751157280085</v>
      </c>
      <c r="AH33" s="129"/>
      <c r="AI33" s="265">
        <f t="shared" si="18"/>
        <v>223.01160259230736</v>
      </c>
      <c r="AJ33" s="264">
        <f t="shared" si="19"/>
        <v>0.75</v>
      </c>
      <c r="AK33" s="265">
        <f t="shared" si="20"/>
        <v>167.25870194423052</v>
      </c>
      <c r="AL33" s="265">
        <f t="shared" si="21"/>
        <v>55.752900648076832</v>
      </c>
      <c r="AM33" s="129"/>
      <c r="AN33" s="265">
        <f t="shared" si="22"/>
        <v>10.911750231456018</v>
      </c>
      <c r="AO33" s="129"/>
      <c r="AP33" s="138">
        <f t="shared" si="23"/>
        <v>42530.806500000006</v>
      </c>
      <c r="AQ33" s="138">
        <f t="shared" si="24"/>
        <v>60758.295000000013</v>
      </c>
      <c r="AR33" s="268">
        <f>사업개요!$C$7/사업개요!$C$3</f>
        <v>0</v>
      </c>
      <c r="AS33" s="269">
        <f t="shared" si="25"/>
        <v>1</v>
      </c>
      <c r="AT33" s="270">
        <f t="shared" si="7"/>
        <v>1E-3</v>
      </c>
      <c r="AU33" s="271">
        <f t="shared" si="8"/>
        <v>14.9</v>
      </c>
      <c r="AV33" s="138">
        <f t="shared" si="26"/>
        <v>27.630806500000006</v>
      </c>
      <c r="AW33" s="269">
        <f t="shared" si="50"/>
        <v>1</v>
      </c>
      <c r="AX33" s="138">
        <f t="shared" si="27"/>
        <v>27.630806500000006</v>
      </c>
      <c r="AY33" s="138">
        <f t="shared" si="28"/>
        <v>0</v>
      </c>
      <c r="AZ33" s="138"/>
      <c r="BA33" s="272">
        <f t="shared" si="29"/>
        <v>54.558751157280085</v>
      </c>
      <c r="BB33" s="272">
        <f t="shared" si="30"/>
        <v>0</v>
      </c>
      <c r="BC33" s="138">
        <f t="shared" si="31"/>
        <v>55.752900648076832</v>
      </c>
      <c r="BD33" s="268">
        <f t="shared" si="32"/>
        <v>10.911750231456018</v>
      </c>
      <c r="BE33" s="138">
        <f t="shared" si="33"/>
        <v>0</v>
      </c>
      <c r="BF33" s="138">
        <f t="shared" si="34"/>
        <v>121.22340203681293</v>
      </c>
      <c r="BG33" s="138">
        <f t="shared" si="35"/>
        <v>479.78916395288371</v>
      </c>
      <c r="BH33" s="138">
        <f t="shared" si="36"/>
        <v>234.78951333788621</v>
      </c>
      <c r="BI33" s="138">
        <f t="shared" si="37"/>
        <v>61.901546297317196</v>
      </c>
      <c r="BK33" s="31"/>
      <c r="BL33" s="31"/>
      <c r="BM33" s="29"/>
      <c r="BN33" s="32"/>
      <c r="BO33" s="29"/>
      <c r="BP33" s="33"/>
      <c r="BQ33" s="33"/>
    </row>
    <row r="34" spans="1:69">
      <c r="A34" s="261" t="s">
        <v>290</v>
      </c>
      <c r="B34" s="262">
        <v>702</v>
      </c>
      <c r="C34" s="262">
        <v>1</v>
      </c>
      <c r="D34" s="263">
        <v>45.4</v>
      </c>
      <c r="E34" s="263">
        <v>76.569999999999993</v>
      </c>
      <c r="F34" s="256">
        <f t="shared" si="10"/>
        <v>4.5777875554577783</v>
      </c>
      <c r="G34" s="246">
        <f t="shared" si="45"/>
        <v>23.114826676714394</v>
      </c>
      <c r="H34" s="129"/>
      <c r="I34" s="171">
        <f t="shared" si="38"/>
        <v>2519</v>
      </c>
      <c r="J34" s="172">
        <f t="shared" si="11"/>
        <v>58226.248398643555</v>
      </c>
      <c r="K34" s="129"/>
      <c r="L34" s="172">
        <f t="shared" si="12"/>
        <v>60758.295000000013</v>
      </c>
      <c r="M34" s="172">
        <f t="shared" si="13"/>
        <v>793.50000000000023</v>
      </c>
      <c r="N34" s="4">
        <f t="shared" si="39"/>
        <v>690</v>
      </c>
      <c r="O34" s="173">
        <f t="shared" ref="O34:P34" si="58">O33</f>
        <v>1</v>
      </c>
      <c r="P34" s="173">
        <f t="shared" si="58"/>
        <v>1</v>
      </c>
      <c r="Q34" s="173">
        <f t="shared" si="47"/>
        <v>1.1500000000000004</v>
      </c>
      <c r="R34" s="129"/>
      <c r="S34" s="138">
        <f t="shared" si="48"/>
        <v>227562.85978806877</v>
      </c>
      <c r="T34" s="138">
        <f>S34*사업개요!$J$20</f>
        <v>182050.28783045502</v>
      </c>
      <c r="U34" s="138">
        <f>ROUND(T34*사업개요!$I$21,-3)</f>
        <v>91000</v>
      </c>
      <c r="V34" s="138">
        <f>ROUND((T34-U34)*사업개요!$I$22/12,0)</f>
        <v>364</v>
      </c>
      <c r="W34" s="138">
        <f t="shared" si="14"/>
        <v>284453.57473508595</v>
      </c>
      <c r="X34" s="130"/>
      <c r="Y34" s="11">
        <f t="shared" si="41"/>
        <v>0.8</v>
      </c>
      <c r="Z34" s="11">
        <f t="shared" si="42"/>
        <v>0.7</v>
      </c>
      <c r="AA34" s="265">
        <f t="shared" si="3"/>
        <v>159294.00185164812</v>
      </c>
      <c r="AB34" s="266">
        <f t="shared" si="4"/>
        <v>2.5000000000000001E-3</v>
      </c>
      <c r="AC34" s="267">
        <f t="shared" si="5"/>
        <v>180</v>
      </c>
      <c r="AD34" s="172">
        <f t="shared" si="15"/>
        <v>218.23500462912034</v>
      </c>
      <c r="AE34" s="264">
        <f t="shared" si="49"/>
        <v>0.75</v>
      </c>
      <c r="AF34" s="138">
        <f t="shared" si="16"/>
        <v>163.67625347184025</v>
      </c>
      <c r="AG34" s="265">
        <f t="shared" si="17"/>
        <v>54.558751157280085</v>
      </c>
      <c r="AH34" s="129"/>
      <c r="AI34" s="265">
        <f t="shared" si="18"/>
        <v>223.01160259230736</v>
      </c>
      <c r="AJ34" s="264">
        <f t="shared" si="19"/>
        <v>0.75</v>
      </c>
      <c r="AK34" s="265">
        <f t="shared" si="20"/>
        <v>167.25870194423052</v>
      </c>
      <c r="AL34" s="265">
        <f t="shared" si="21"/>
        <v>55.752900648076832</v>
      </c>
      <c r="AM34" s="129"/>
      <c r="AN34" s="265">
        <f t="shared" si="22"/>
        <v>10.911750231456018</v>
      </c>
      <c r="AO34" s="129"/>
      <c r="AP34" s="138">
        <f t="shared" si="23"/>
        <v>42530.806500000006</v>
      </c>
      <c r="AQ34" s="138">
        <f t="shared" si="24"/>
        <v>60758.295000000013</v>
      </c>
      <c r="AR34" s="268">
        <f>사업개요!$C$7/사업개요!$C$3</f>
        <v>0</v>
      </c>
      <c r="AS34" s="269">
        <f t="shared" si="25"/>
        <v>1</v>
      </c>
      <c r="AT34" s="270">
        <f t="shared" si="7"/>
        <v>1E-3</v>
      </c>
      <c r="AU34" s="271">
        <f t="shared" si="8"/>
        <v>14.9</v>
      </c>
      <c r="AV34" s="138">
        <f t="shared" si="26"/>
        <v>27.630806500000006</v>
      </c>
      <c r="AW34" s="269">
        <f t="shared" si="50"/>
        <v>1</v>
      </c>
      <c r="AX34" s="138">
        <f t="shared" si="27"/>
        <v>27.630806500000006</v>
      </c>
      <c r="AY34" s="138">
        <f t="shared" si="28"/>
        <v>0</v>
      </c>
      <c r="AZ34" s="138"/>
      <c r="BA34" s="272">
        <f t="shared" si="29"/>
        <v>54.558751157280085</v>
      </c>
      <c r="BB34" s="272">
        <f t="shared" si="30"/>
        <v>0</v>
      </c>
      <c r="BC34" s="138">
        <f t="shared" si="31"/>
        <v>55.752900648076832</v>
      </c>
      <c r="BD34" s="268">
        <f t="shared" si="32"/>
        <v>10.911750231456018</v>
      </c>
      <c r="BE34" s="138">
        <f t="shared" si="33"/>
        <v>0</v>
      </c>
      <c r="BF34" s="138">
        <f t="shared" si="34"/>
        <v>121.22340203681293</v>
      </c>
      <c r="BG34" s="138">
        <f t="shared" si="35"/>
        <v>479.78916395288371</v>
      </c>
      <c r="BH34" s="138">
        <f t="shared" si="36"/>
        <v>234.78951333788621</v>
      </c>
      <c r="BI34" s="138">
        <f t="shared" si="37"/>
        <v>61.901546297317196</v>
      </c>
      <c r="BK34" s="31"/>
      <c r="BL34" s="31"/>
      <c r="BM34" s="29"/>
      <c r="BN34" s="32"/>
      <c r="BO34" s="29"/>
      <c r="BP34" s="33"/>
      <c r="BQ34" s="33"/>
    </row>
    <row r="35" spans="1:69">
      <c r="A35" s="261" t="s">
        <v>291</v>
      </c>
      <c r="B35" s="262">
        <v>703</v>
      </c>
      <c r="C35" s="262">
        <v>1</v>
      </c>
      <c r="D35" s="263">
        <v>55.82</v>
      </c>
      <c r="E35" s="263">
        <v>93.99</v>
      </c>
      <c r="F35" s="256">
        <f t="shared" si="10"/>
        <v>5.6284603820628449</v>
      </c>
      <c r="G35" s="246">
        <f t="shared" si="45"/>
        <v>28.420035795026372</v>
      </c>
      <c r="H35" s="129"/>
      <c r="I35" s="171">
        <f t="shared" si="38"/>
        <v>2519</v>
      </c>
      <c r="J35" s="172">
        <f t="shared" si="11"/>
        <v>71590.070167671438</v>
      </c>
      <c r="K35" s="129"/>
      <c r="L35" s="172">
        <f t="shared" si="12"/>
        <v>74581.065000000017</v>
      </c>
      <c r="M35" s="172">
        <f t="shared" si="13"/>
        <v>793.50000000000023</v>
      </c>
      <c r="N35" s="4">
        <f t="shared" si="39"/>
        <v>690</v>
      </c>
      <c r="O35" s="173">
        <f t="shared" ref="O35:P35" si="59">O34</f>
        <v>1</v>
      </c>
      <c r="P35" s="173">
        <f t="shared" si="59"/>
        <v>1</v>
      </c>
      <c r="Q35" s="173">
        <f t="shared" si="47"/>
        <v>1.1500000000000004</v>
      </c>
      <c r="R35" s="129"/>
      <c r="S35" s="138">
        <f t="shared" si="48"/>
        <v>279792.04478788545</v>
      </c>
      <c r="T35" s="138">
        <f>S35*사업개요!$J$20</f>
        <v>223833.63583030837</v>
      </c>
      <c r="U35" s="138">
        <f>ROUND(T35*사업개요!$I$21,-3)</f>
        <v>112000</v>
      </c>
      <c r="V35" s="138">
        <f>ROUND((T35-U35)*사업개요!$I$22/12,0)</f>
        <v>447</v>
      </c>
      <c r="W35" s="138">
        <f t="shared" si="14"/>
        <v>349740.05598485679</v>
      </c>
      <c r="X35" s="130"/>
      <c r="Y35" s="11">
        <f t="shared" si="41"/>
        <v>0.8</v>
      </c>
      <c r="Z35" s="11">
        <f t="shared" si="42"/>
        <v>0.7</v>
      </c>
      <c r="AA35" s="265">
        <f t="shared" si="3"/>
        <v>195854.4313515198</v>
      </c>
      <c r="AB35" s="266">
        <f t="shared" si="4"/>
        <v>2.5000000000000001E-3</v>
      </c>
      <c r="AC35" s="267">
        <f t="shared" si="5"/>
        <v>180</v>
      </c>
      <c r="AD35" s="172">
        <f t="shared" si="15"/>
        <v>309.63607837879954</v>
      </c>
      <c r="AE35" s="264">
        <f t="shared" si="49"/>
        <v>0.75</v>
      </c>
      <c r="AF35" s="138">
        <f t="shared" si="16"/>
        <v>232.22705878409965</v>
      </c>
      <c r="AG35" s="265">
        <f t="shared" si="17"/>
        <v>77.409019594699885</v>
      </c>
      <c r="AH35" s="129"/>
      <c r="AI35" s="265">
        <f t="shared" si="18"/>
        <v>274.19620389212776</v>
      </c>
      <c r="AJ35" s="264">
        <f t="shared" si="19"/>
        <v>0.75</v>
      </c>
      <c r="AK35" s="265">
        <f t="shared" si="20"/>
        <v>205.64715291909582</v>
      </c>
      <c r="AL35" s="265">
        <f t="shared" si="21"/>
        <v>68.549050973031939</v>
      </c>
      <c r="AM35" s="129"/>
      <c r="AN35" s="265">
        <f t="shared" si="22"/>
        <v>15.481803918939978</v>
      </c>
      <c r="AO35" s="129"/>
      <c r="AP35" s="138">
        <f t="shared" si="23"/>
        <v>52206.745500000012</v>
      </c>
      <c r="AQ35" s="138">
        <f t="shared" si="24"/>
        <v>74581.065000000017</v>
      </c>
      <c r="AR35" s="268">
        <f>사업개요!$C$7/사업개요!$C$3</f>
        <v>0</v>
      </c>
      <c r="AS35" s="269">
        <f t="shared" si="25"/>
        <v>1</v>
      </c>
      <c r="AT35" s="270">
        <f t="shared" si="7"/>
        <v>1E-3</v>
      </c>
      <c r="AU35" s="271">
        <f t="shared" si="8"/>
        <v>14.9</v>
      </c>
      <c r="AV35" s="138">
        <f t="shared" si="26"/>
        <v>37.306745500000012</v>
      </c>
      <c r="AW35" s="269">
        <f t="shared" si="50"/>
        <v>1</v>
      </c>
      <c r="AX35" s="138">
        <f t="shared" si="27"/>
        <v>37.306745500000012</v>
      </c>
      <c r="AY35" s="138">
        <f t="shared" si="28"/>
        <v>0</v>
      </c>
      <c r="AZ35" s="138"/>
      <c r="BA35" s="272">
        <f t="shared" si="29"/>
        <v>77.409019594699885</v>
      </c>
      <c r="BB35" s="272">
        <f t="shared" si="30"/>
        <v>0</v>
      </c>
      <c r="BC35" s="138">
        <f t="shared" si="31"/>
        <v>68.549050973031939</v>
      </c>
      <c r="BD35" s="268">
        <f t="shared" si="32"/>
        <v>15.481803918939978</v>
      </c>
      <c r="BE35" s="138">
        <f t="shared" si="33"/>
        <v>0</v>
      </c>
      <c r="BF35" s="138">
        <f t="shared" si="34"/>
        <v>161.43987448667181</v>
      </c>
      <c r="BG35" s="138">
        <f t="shared" si="35"/>
        <v>636.62083168986726</v>
      </c>
      <c r="BH35" s="138">
        <f t="shared" si="36"/>
        <v>311.79705869150894</v>
      </c>
      <c r="BI35" s="138">
        <f t="shared" si="37"/>
        <v>82.37165127623139</v>
      </c>
      <c r="BK35" s="31">
        <f>BL32</f>
        <v>26000</v>
      </c>
      <c r="BL35" s="31">
        <v>39000</v>
      </c>
      <c r="BM35" s="29">
        <v>8.0000000000000004E-4</v>
      </c>
      <c r="BN35" s="32">
        <v>7.1000000000000014</v>
      </c>
      <c r="BO35" s="29">
        <v>2.0000000000000009E-4</v>
      </c>
      <c r="BP35" s="33">
        <v>5.200000000000002</v>
      </c>
      <c r="BQ35" s="33">
        <v>7.1000000000000014</v>
      </c>
    </row>
    <row r="36" spans="1:69">
      <c r="A36" s="261" t="s">
        <v>291</v>
      </c>
      <c r="B36" s="262">
        <v>704</v>
      </c>
      <c r="C36" s="262">
        <v>1</v>
      </c>
      <c r="D36" s="263">
        <v>55.82</v>
      </c>
      <c r="E36" s="263">
        <v>93.99</v>
      </c>
      <c r="F36" s="256">
        <f t="shared" si="10"/>
        <v>5.6284603820628449</v>
      </c>
      <c r="G36" s="246">
        <f t="shared" si="45"/>
        <v>28.420035795026372</v>
      </c>
      <c r="H36" s="129"/>
      <c r="I36" s="171">
        <f t="shared" si="38"/>
        <v>2519</v>
      </c>
      <c r="J36" s="172">
        <f t="shared" si="11"/>
        <v>71590.070167671438</v>
      </c>
      <c r="K36" s="129"/>
      <c r="L36" s="172">
        <f t="shared" si="12"/>
        <v>74581.065000000017</v>
      </c>
      <c r="M36" s="172">
        <f t="shared" si="13"/>
        <v>793.50000000000023</v>
      </c>
      <c r="N36" s="4">
        <f t="shared" si="39"/>
        <v>690</v>
      </c>
      <c r="O36" s="173">
        <f t="shared" ref="O36:P36" si="60">O35</f>
        <v>1</v>
      </c>
      <c r="P36" s="173">
        <f t="shared" si="60"/>
        <v>1</v>
      </c>
      <c r="Q36" s="173">
        <f t="shared" si="47"/>
        <v>1.1500000000000004</v>
      </c>
      <c r="R36" s="129"/>
      <c r="S36" s="138">
        <f t="shared" si="48"/>
        <v>279792.04478788545</v>
      </c>
      <c r="T36" s="138">
        <f>S36*사업개요!$J$20</f>
        <v>223833.63583030837</v>
      </c>
      <c r="U36" s="138">
        <f>ROUND(T36*사업개요!$I$21,-3)</f>
        <v>112000</v>
      </c>
      <c r="V36" s="138">
        <f>ROUND((T36-U36)*사업개요!$I$22/12,0)</f>
        <v>447</v>
      </c>
      <c r="W36" s="138">
        <f t="shared" si="14"/>
        <v>349740.05598485679</v>
      </c>
      <c r="X36" s="130"/>
      <c r="Y36" s="11">
        <f t="shared" si="41"/>
        <v>0.8</v>
      </c>
      <c r="Z36" s="11">
        <f t="shared" si="42"/>
        <v>0.7</v>
      </c>
      <c r="AA36" s="265">
        <f t="shared" si="3"/>
        <v>195854.4313515198</v>
      </c>
      <c r="AB36" s="266">
        <f t="shared" si="4"/>
        <v>2.5000000000000001E-3</v>
      </c>
      <c r="AC36" s="267">
        <f t="shared" si="5"/>
        <v>180</v>
      </c>
      <c r="AD36" s="172">
        <f t="shared" si="15"/>
        <v>309.63607837879954</v>
      </c>
      <c r="AE36" s="264">
        <f t="shared" si="49"/>
        <v>0.75</v>
      </c>
      <c r="AF36" s="138">
        <f t="shared" si="16"/>
        <v>232.22705878409965</v>
      </c>
      <c r="AG36" s="265">
        <f t="shared" si="17"/>
        <v>77.409019594699885</v>
      </c>
      <c r="AH36" s="129"/>
      <c r="AI36" s="265">
        <f t="shared" si="18"/>
        <v>274.19620389212776</v>
      </c>
      <c r="AJ36" s="264">
        <f t="shared" si="19"/>
        <v>0.75</v>
      </c>
      <c r="AK36" s="265">
        <f t="shared" si="20"/>
        <v>205.64715291909582</v>
      </c>
      <c r="AL36" s="265">
        <f t="shared" si="21"/>
        <v>68.549050973031939</v>
      </c>
      <c r="AM36" s="129"/>
      <c r="AN36" s="265">
        <f t="shared" si="22"/>
        <v>15.481803918939978</v>
      </c>
      <c r="AO36" s="129"/>
      <c r="AP36" s="138">
        <f t="shared" si="23"/>
        <v>52206.745500000012</v>
      </c>
      <c r="AQ36" s="138">
        <f t="shared" si="24"/>
        <v>74581.065000000017</v>
      </c>
      <c r="AR36" s="268">
        <f>사업개요!$C$7/사업개요!$C$3</f>
        <v>0</v>
      </c>
      <c r="AS36" s="269">
        <f t="shared" si="25"/>
        <v>1</v>
      </c>
      <c r="AT36" s="270">
        <f t="shared" si="7"/>
        <v>1E-3</v>
      </c>
      <c r="AU36" s="271">
        <f t="shared" si="8"/>
        <v>14.9</v>
      </c>
      <c r="AV36" s="138">
        <f t="shared" si="26"/>
        <v>37.306745500000012</v>
      </c>
      <c r="AW36" s="269">
        <f t="shared" si="50"/>
        <v>1</v>
      </c>
      <c r="AX36" s="138">
        <f t="shared" si="27"/>
        <v>37.306745500000012</v>
      </c>
      <c r="AY36" s="138">
        <f t="shared" si="28"/>
        <v>0</v>
      </c>
      <c r="AZ36" s="138"/>
      <c r="BA36" s="272">
        <f t="shared" si="29"/>
        <v>77.409019594699885</v>
      </c>
      <c r="BB36" s="272">
        <f t="shared" si="30"/>
        <v>0</v>
      </c>
      <c r="BC36" s="138">
        <f t="shared" si="31"/>
        <v>68.549050973031939</v>
      </c>
      <c r="BD36" s="268">
        <f t="shared" si="32"/>
        <v>15.481803918939978</v>
      </c>
      <c r="BE36" s="138">
        <f t="shared" si="33"/>
        <v>0</v>
      </c>
      <c r="BF36" s="138">
        <f t="shared" si="34"/>
        <v>161.43987448667181</v>
      </c>
      <c r="BG36" s="138">
        <f t="shared" si="35"/>
        <v>636.62083168986726</v>
      </c>
      <c r="BH36" s="138">
        <f t="shared" si="36"/>
        <v>311.79705869150894</v>
      </c>
      <c r="BI36" s="138">
        <f t="shared" si="37"/>
        <v>82.37165127623139</v>
      </c>
      <c r="BK36" s="31">
        <f>BL35</f>
        <v>39000</v>
      </c>
      <c r="BL36" s="31">
        <v>64000</v>
      </c>
      <c r="BM36" s="29">
        <v>1E-3</v>
      </c>
      <c r="BN36" s="32">
        <v>14.9</v>
      </c>
      <c r="BO36" s="29">
        <v>1.9999999999999998E-4</v>
      </c>
      <c r="BP36" s="33">
        <v>7.8</v>
      </c>
      <c r="BQ36" s="33">
        <v>14.9</v>
      </c>
    </row>
    <row r="37" spans="1:69">
      <c r="A37" s="183"/>
      <c r="B37" s="183"/>
      <c r="C37" s="183"/>
      <c r="D37" s="184"/>
      <c r="E37" s="184"/>
      <c r="F37" s="184"/>
      <c r="G37" s="184"/>
      <c r="H37" s="185"/>
      <c r="I37" s="186"/>
      <c r="J37" s="187"/>
      <c r="K37" s="185"/>
      <c r="L37" s="187"/>
      <c r="M37" s="187"/>
      <c r="N37" s="187"/>
      <c r="O37" s="188"/>
      <c r="P37" s="188"/>
      <c r="Q37" s="188"/>
      <c r="R37" s="185"/>
      <c r="S37" s="189"/>
      <c r="T37" s="189"/>
      <c r="U37" s="189"/>
      <c r="V37" s="189"/>
      <c r="W37" s="189"/>
      <c r="X37" s="190"/>
      <c r="Y37" s="191"/>
      <c r="Z37" s="191"/>
      <c r="AA37" s="192"/>
      <c r="AB37" s="193"/>
      <c r="AC37" s="194"/>
      <c r="AD37" s="187"/>
      <c r="AE37" s="191"/>
      <c r="AF37" s="189"/>
      <c r="AG37" s="192"/>
      <c r="AH37" s="185"/>
      <c r="AI37" s="192"/>
      <c r="AJ37" s="191"/>
      <c r="AK37" s="192"/>
      <c r="AL37" s="192"/>
      <c r="AM37" s="185"/>
      <c r="AN37" s="192"/>
      <c r="AO37" s="185"/>
      <c r="AP37" s="189"/>
      <c r="AQ37" s="189"/>
      <c r="AR37" s="195"/>
      <c r="AS37" s="196"/>
      <c r="AT37" s="197"/>
      <c r="AU37" s="198"/>
      <c r="AV37" s="189"/>
      <c r="AW37" s="196"/>
      <c r="AX37" s="189"/>
      <c r="AY37" s="189"/>
      <c r="AZ37" s="189"/>
      <c r="BA37" s="199"/>
      <c r="BB37" s="199"/>
      <c r="BC37" s="189"/>
      <c r="BD37" s="195"/>
      <c r="BE37" s="189"/>
      <c r="BF37" s="189"/>
      <c r="BG37" s="189"/>
      <c r="BH37" s="189"/>
      <c r="BI37" s="189"/>
      <c r="BK37" s="31">
        <f>BL36</f>
        <v>64000</v>
      </c>
      <c r="BL37" s="31">
        <v>99999999</v>
      </c>
      <c r="BM37" s="29">
        <v>1.1999999999999999E-3</v>
      </c>
      <c r="BN37" s="32">
        <v>27.699999999999992</v>
      </c>
      <c r="BO37" s="29">
        <v>1.9999999999999987E-4</v>
      </c>
      <c r="BP37" s="30">
        <v>12.799999999999992</v>
      </c>
      <c r="BQ37" s="30">
        <v>27.699999999999992</v>
      </c>
    </row>
    <row r="38" spans="1:69">
      <c r="A38" s="183"/>
      <c r="B38" s="183"/>
      <c r="C38" s="183"/>
      <c r="D38" s="184"/>
      <c r="E38" s="184"/>
      <c r="F38" s="184"/>
      <c r="G38" s="184"/>
      <c r="H38" s="185"/>
      <c r="I38" s="186"/>
      <c r="J38" s="187"/>
      <c r="K38" s="185"/>
      <c r="L38" s="187"/>
      <c r="M38" s="187"/>
      <c r="N38" s="187"/>
      <c r="O38" s="188"/>
      <c r="P38" s="188"/>
      <c r="Q38" s="188"/>
      <c r="R38" s="185"/>
      <c r="S38" s="189"/>
      <c r="T38" s="189"/>
      <c r="U38" s="189"/>
      <c r="V38" s="189"/>
      <c r="W38" s="189"/>
      <c r="X38" s="190"/>
      <c r="Y38" s="191"/>
      <c r="Z38" s="191"/>
      <c r="AA38" s="192"/>
      <c r="AB38" s="193"/>
      <c r="AC38" s="194"/>
      <c r="AD38" s="187"/>
      <c r="AE38" s="191"/>
      <c r="AF38" s="189"/>
      <c r="AG38" s="192"/>
      <c r="AH38" s="185"/>
      <c r="AI38" s="192"/>
      <c r="AJ38" s="191"/>
      <c r="AK38" s="192"/>
      <c r="AL38" s="192"/>
      <c r="AM38" s="185"/>
      <c r="AN38" s="192"/>
      <c r="AO38" s="185"/>
      <c r="AP38" s="189"/>
      <c r="AQ38" s="189"/>
      <c r="AR38" s="195"/>
      <c r="AS38" s="196"/>
      <c r="AT38" s="197"/>
      <c r="AU38" s="198"/>
      <c r="AV38" s="189"/>
      <c r="AW38" s="196"/>
      <c r="AX38" s="189"/>
      <c r="AY38" s="189"/>
      <c r="AZ38" s="189"/>
      <c r="BA38" s="199"/>
      <c r="BB38" s="199"/>
      <c r="BC38" s="189"/>
      <c r="BD38" s="195"/>
      <c r="BE38" s="189"/>
      <c r="BF38" s="189"/>
      <c r="BG38" s="189"/>
      <c r="BH38" s="189"/>
      <c r="BI38" s="189"/>
      <c r="BK38" s="20"/>
      <c r="BL38" s="20"/>
      <c r="BM38" s="158"/>
      <c r="BN38" s="159"/>
      <c r="BO38" s="158"/>
      <c r="BP38" s="21"/>
      <c r="BQ38" s="21"/>
    </row>
    <row r="39" spans="1:69" ht="17.25" thickBot="1">
      <c r="A39" s="200"/>
      <c r="B39" s="200"/>
      <c r="C39" s="200"/>
      <c r="D39" s="201"/>
      <c r="E39" s="201"/>
      <c r="F39" s="201"/>
      <c r="G39" s="201"/>
      <c r="H39" s="185"/>
      <c r="I39" s="186"/>
      <c r="J39" s="202"/>
      <c r="K39" s="185"/>
      <c r="L39" s="187"/>
      <c r="M39" s="187"/>
      <c r="N39" s="187"/>
      <c r="O39" s="188"/>
      <c r="P39" s="188"/>
      <c r="Q39" s="188"/>
      <c r="R39" s="185"/>
      <c r="S39" s="203"/>
      <c r="T39" s="203"/>
      <c r="U39" s="203"/>
      <c r="V39" s="203"/>
      <c r="W39" s="203"/>
      <c r="X39" s="190"/>
      <c r="Y39" s="204"/>
      <c r="Z39" s="204"/>
      <c r="AA39" s="205"/>
      <c r="AB39" s="206"/>
      <c r="AC39" s="207"/>
      <c r="AD39" s="202"/>
      <c r="AE39" s="204"/>
      <c r="AF39" s="203"/>
      <c r="AG39" s="205"/>
      <c r="AH39" s="185"/>
      <c r="AI39" s="205"/>
      <c r="AJ39" s="204"/>
      <c r="AK39" s="205"/>
      <c r="AL39" s="205"/>
      <c r="AM39" s="185"/>
      <c r="AN39" s="205"/>
      <c r="AO39" s="185"/>
      <c r="AP39" s="203"/>
      <c r="AQ39" s="203"/>
      <c r="AR39" s="208"/>
      <c r="AS39" s="209"/>
      <c r="AT39" s="210"/>
      <c r="AU39" s="211"/>
      <c r="AV39" s="203"/>
      <c r="AW39" s="209"/>
      <c r="AX39" s="203"/>
      <c r="AY39" s="203"/>
      <c r="AZ39" s="190"/>
      <c r="BA39" s="212"/>
      <c r="BB39" s="212"/>
      <c r="BC39" s="203"/>
      <c r="BD39" s="208"/>
      <c r="BE39" s="203"/>
      <c r="BF39" s="203"/>
      <c r="BG39" s="203"/>
      <c r="BH39" s="203"/>
      <c r="BI39" s="203"/>
      <c r="BK39" s="7" t="s">
        <v>179</v>
      </c>
      <c r="BO39" s="8"/>
    </row>
    <row r="40" spans="1:69" ht="17.25" thickTop="1">
      <c r="A40" s="1" t="s">
        <v>74</v>
      </c>
      <c r="C40" s="1">
        <f>SUM(C8:C39)</f>
        <v>29</v>
      </c>
      <c r="D40" s="28">
        <f>SUMPRODUCT($C$8:$C$39,D8:D39)</f>
        <v>1090.92</v>
      </c>
      <c r="E40" s="28">
        <f>SUM(E8:E39)</f>
        <v>1851.81</v>
      </c>
      <c r="F40" s="28">
        <f>SUM(F8:F39)</f>
        <v>109.99999999999997</v>
      </c>
      <c r="G40" s="160">
        <f>사업개요!C2*'사업자작성1(호별개요)'!D40/('사업자작성1(호별개요)'!D40+'사업자작성1(호별개요)'!D49)</f>
        <v>555.42790128108516</v>
      </c>
      <c r="I40" s="161">
        <f>SUMPRODUCT($C$8:$C$39,G8:G39,I8:I39)</f>
        <v>1399122.8833270534</v>
      </c>
      <c r="J40" s="4">
        <f>SUM(J8:J39)</f>
        <v>1399122.8833270534</v>
      </c>
      <c r="K40" s="48"/>
      <c r="L40" s="161">
        <f>SUMPRODUCT($C$8:$C$39,L8:L39)</f>
        <v>1469411.2350000001</v>
      </c>
      <c r="M40" s="162"/>
      <c r="N40" s="162"/>
      <c r="O40" s="162"/>
      <c r="P40" s="162"/>
      <c r="Q40" s="162"/>
      <c r="S40" s="130">
        <f>B56</f>
        <v>5468125</v>
      </c>
      <c r="T40" s="8">
        <f>SUMPRODUCT($C$8:$C$39,T8:T39)</f>
        <v>4374500</v>
      </c>
      <c r="U40" s="8">
        <f>SUMPRODUCT($C$8:$C$39,U8:U39)</f>
        <v>2187000</v>
      </c>
      <c r="V40" s="8">
        <f>SUMPRODUCT($C$8:$C$39,V8:V39)</f>
        <v>8744</v>
      </c>
      <c r="W40" s="20">
        <f>SUMPRODUCT($C$8:$C$39,W8:W39)</f>
        <v>6835156.25</v>
      </c>
      <c r="X40" s="20"/>
      <c r="Y40" s="11"/>
      <c r="AA40" s="8"/>
      <c r="AB40" s="6"/>
      <c r="AD40" s="8">
        <f>SUMPRODUCT($C$8:$C$39,AD8:AD39)</f>
        <v>5202.4218492190066</v>
      </c>
      <c r="AF40" s="8">
        <f>SUMPRODUCT($C$8:$C$39,AF8:AF39)</f>
        <v>4410.6152247071241</v>
      </c>
      <c r="AG40" s="8">
        <f>SUMPRODUCT($C$8:$C$39,AG8:AG39)</f>
        <v>791.80662451187982</v>
      </c>
      <c r="AI40" s="8">
        <f>SUMPRODUCT($C$8:$C$39,AI8:AI39)</f>
        <v>5358.7624999999989</v>
      </c>
      <c r="AK40" s="8">
        <f>SUMPRODUCT($C$8:$C$39,AK8:AK39)</f>
        <v>4612.9507902733449</v>
      </c>
      <c r="AL40" s="8">
        <f>SUMPRODUCT($C$8:$C$39,AL8:AL39)</f>
        <v>745.81170972665268</v>
      </c>
      <c r="AN40" s="8">
        <f>SUMPRODUCT($C$8:$C$39,AN8:AN39)</f>
        <v>158.36132490237597</v>
      </c>
      <c r="AV40" s="8">
        <f>SUMPRODUCT($C$8:$C$39,AV8:AV39)</f>
        <v>637.05535400000031</v>
      </c>
      <c r="AW40" s="8"/>
      <c r="AX40" s="8">
        <f>SUMPRODUCT($C$8:$C$39,AX8:AX39)</f>
        <v>637.05535400000031</v>
      </c>
      <c r="BA40" s="50">
        <f>SUMPRODUCT($C$8:$C$39,BA8:BA39)</f>
        <v>791.80662451187982</v>
      </c>
      <c r="BB40" s="50"/>
      <c r="BF40" s="8">
        <f>SUMPRODUCT($C$8:$C$39,BF8:BF39)</f>
        <v>2001.2589618166321</v>
      </c>
      <c r="BG40" s="8">
        <f>SUMPRODUCT($C$8:$C$39,BG8:BG39)</f>
        <v>11356.60102812138</v>
      </c>
      <c r="BH40" s="138">
        <f>SUMPRODUCT($C$8:$C$39,BH8:BH39)</f>
        <v>5540.8666284029587</v>
      </c>
      <c r="BI40" s="138">
        <f>SUMPRODUCT($C$8:$C$39,BI8:BI39)</f>
        <v>1022.7172039966715</v>
      </c>
      <c r="BK40" s="30" t="s">
        <v>50</v>
      </c>
      <c r="BL40" s="30" t="s">
        <v>51</v>
      </c>
      <c r="BM40" s="30" t="s">
        <v>42</v>
      </c>
      <c r="BN40" s="37" t="s">
        <v>180</v>
      </c>
      <c r="BO40" s="30" t="s">
        <v>62</v>
      </c>
      <c r="BP40" s="30" t="s">
        <v>181</v>
      </c>
      <c r="BQ40" s="37"/>
    </row>
    <row r="41" spans="1:69">
      <c r="S41" s="174"/>
      <c r="BK41" s="38"/>
      <c r="BL41" s="38">
        <v>40</v>
      </c>
      <c r="BM41" s="36">
        <v>1</v>
      </c>
      <c r="BN41" s="36">
        <v>1</v>
      </c>
      <c r="BO41" s="36">
        <v>1</v>
      </c>
      <c r="BP41" s="36" t="s">
        <v>182</v>
      </c>
      <c r="BQ41" s="36"/>
    </row>
    <row r="42" spans="1:69">
      <c r="A42" s="221" t="s">
        <v>283</v>
      </c>
      <c r="B42" s="21"/>
      <c r="C42" s="21"/>
      <c r="D42" s="21"/>
      <c r="BK42" s="38">
        <v>40</v>
      </c>
      <c r="BL42" s="38">
        <v>60</v>
      </c>
      <c r="BM42" s="36">
        <v>0.5</v>
      </c>
      <c r="BN42" s="36">
        <v>0.5</v>
      </c>
      <c r="BO42" s="36">
        <v>1</v>
      </c>
      <c r="BP42" s="36" t="s">
        <v>183</v>
      </c>
      <c r="BQ42" s="36"/>
    </row>
    <row r="43" spans="1:69">
      <c r="A43" s="47" t="s">
        <v>184</v>
      </c>
      <c r="B43" s="23"/>
      <c r="C43" s="23"/>
      <c r="D43" s="23"/>
      <c r="E43" s="17"/>
      <c r="F43" s="254"/>
      <c r="G43" s="23"/>
      <c r="I43" s="47" t="s">
        <v>185</v>
      </c>
      <c r="J43" s="23"/>
      <c r="L43" s="23" t="s">
        <v>186</v>
      </c>
      <c r="M43" s="23"/>
      <c r="N43" s="23"/>
      <c r="O43" s="23"/>
      <c r="P43" s="23"/>
      <c r="Q43" s="23"/>
      <c r="S43" s="221" t="s">
        <v>241</v>
      </c>
      <c r="T43" s="21"/>
      <c r="U43" s="21"/>
      <c r="V43" s="21"/>
      <c r="W43" s="21"/>
      <c r="Y43" s="21" t="s">
        <v>187</v>
      </c>
      <c r="Z43" s="21"/>
      <c r="AA43" s="21"/>
      <c r="AB43" s="21"/>
      <c r="AC43" s="21"/>
      <c r="BK43" s="38">
        <v>60</v>
      </c>
      <c r="BL43" s="38">
        <v>85</v>
      </c>
      <c r="BM43" s="36">
        <v>0.25</v>
      </c>
      <c r="BN43" s="36">
        <v>0</v>
      </c>
      <c r="BO43" s="36">
        <v>0</v>
      </c>
      <c r="BP43" s="36" t="s">
        <v>183</v>
      </c>
      <c r="BQ43" s="36"/>
    </row>
    <row r="44" spans="1:69">
      <c r="A44" s="39" t="s">
        <v>188</v>
      </c>
      <c r="B44" s="39" t="s">
        <v>189</v>
      </c>
      <c r="C44" s="39" t="s">
        <v>190</v>
      </c>
      <c r="D44" s="39" t="s">
        <v>191</v>
      </c>
      <c r="E44" s="17" t="s">
        <v>192</v>
      </c>
      <c r="F44" s="254"/>
      <c r="G44" s="43" t="s">
        <v>193</v>
      </c>
      <c r="I44" s="43" t="s">
        <v>75</v>
      </c>
      <c r="J44" s="43" t="s">
        <v>194</v>
      </c>
      <c r="L44" s="43" t="s">
        <v>194</v>
      </c>
      <c r="M44" s="43" t="s">
        <v>195</v>
      </c>
      <c r="N44" s="43" t="s">
        <v>69</v>
      </c>
      <c r="O44" s="43" t="s">
        <v>70</v>
      </c>
      <c r="P44" s="43" t="s">
        <v>71</v>
      </c>
      <c r="Q44" s="43" t="s">
        <v>72</v>
      </c>
      <c r="S44" s="41" t="s">
        <v>196</v>
      </c>
      <c r="T44" s="40" t="s">
        <v>197</v>
      </c>
      <c r="U44" s="40" t="s">
        <v>198</v>
      </c>
      <c r="V44" s="40" t="s">
        <v>199</v>
      </c>
      <c r="W44" s="40" t="s">
        <v>200</v>
      </c>
      <c r="Y44" s="41" t="s">
        <v>201</v>
      </c>
      <c r="Z44" s="40" t="s">
        <v>202</v>
      </c>
      <c r="AA44" s="40" t="s">
        <v>203</v>
      </c>
      <c r="AB44" s="40" t="s">
        <v>204</v>
      </c>
      <c r="AC44" s="40"/>
      <c r="BK44" s="38">
        <v>85</v>
      </c>
      <c r="BL44" s="38">
        <v>8500</v>
      </c>
      <c r="BM44" s="36">
        <v>0</v>
      </c>
      <c r="BN44" s="36">
        <v>0</v>
      </c>
      <c r="BO44" s="36">
        <v>0</v>
      </c>
      <c r="BP44" s="36"/>
      <c r="BQ44" s="30"/>
    </row>
    <row r="45" spans="1:69">
      <c r="A45" s="296" t="s">
        <v>320</v>
      </c>
      <c r="B45" s="262" t="s">
        <v>205</v>
      </c>
      <c r="C45" s="262">
        <v>1</v>
      </c>
      <c r="D45" s="263">
        <v>110</v>
      </c>
      <c r="E45" s="263">
        <v>307.25</v>
      </c>
      <c r="F45" s="157"/>
      <c r="G45" s="28">
        <f>$G$49*D45/$D$49</f>
        <v>56.0050866616428</v>
      </c>
      <c r="I45" s="171">
        <f>I8</f>
        <v>2519</v>
      </c>
      <c r="J45" s="4">
        <f>G45*I45</f>
        <v>141076.81330067822</v>
      </c>
      <c r="L45" s="4">
        <f>M45*E45</f>
        <v>243802.87500000006</v>
      </c>
      <c r="M45" s="214">
        <f>N45*O45*P45*Q45*1</f>
        <v>793.50000000000023</v>
      </c>
      <c r="N45" s="172">
        <v>690</v>
      </c>
      <c r="O45" s="173">
        <v>1</v>
      </c>
      <c r="P45" s="173">
        <v>1</v>
      </c>
      <c r="Q45" s="27">
        <f>SUMPRODUCT(($BK$71:$BK$96&lt;I45)*(I45&lt;=$BL$71:$BL$96)*$BM$71:$BM$96)</f>
        <v>1.1500000000000004</v>
      </c>
      <c r="S45" s="175">
        <f>$S$49*D45/$D$49</f>
        <v>579378.41530054645</v>
      </c>
      <c r="T45" s="176">
        <f>S45*사업개요!$P$20</f>
        <v>463502.73224043718</v>
      </c>
      <c r="U45" s="175">
        <f>T45*10%</f>
        <v>46350.273224043718</v>
      </c>
      <c r="V45" s="175">
        <f>(T45-U45)*사업개요!$I$22/12</f>
        <v>1668.609836065574</v>
      </c>
      <c r="W45" s="175">
        <f t="shared" ref="W45" si="61">S45/0.8</f>
        <v>724223.019125683</v>
      </c>
      <c r="Y45" s="8">
        <f>L45</f>
        <v>243802.87500000006</v>
      </c>
      <c r="Z45" s="116">
        <v>0.7</v>
      </c>
      <c r="AA45" s="115">
        <v>2.5000000000000001E-3</v>
      </c>
      <c r="AB45" s="8">
        <f>Y45*Z45*AA45</f>
        <v>426.65503125000009</v>
      </c>
      <c r="AC45" s="8"/>
    </row>
    <row r="46" spans="1:69">
      <c r="A46" s="261" t="s">
        <v>206</v>
      </c>
      <c r="B46" s="262">
        <v>101</v>
      </c>
      <c r="C46" s="262">
        <v>1</v>
      </c>
      <c r="D46" s="263">
        <v>73</v>
      </c>
      <c r="E46" s="263">
        <v>89.76</v>
      </c>
      <c r="F46" s="157"/>
      <c r="G46" s="28">
        <f>$G$49*D46/$D$49</f>
        <v>37.167012057272039</v>
      </c>
      <c r="I46" s="171">
        <f>I45</f>
        <v>2519</v>
      </c>
      <c r="J46" s="4">
        <f>G46*I46</f>
        <v>93623.703372268268</v>
      </c>
      <c r="L46" s="4">
        <f>M46*E46</f>
        <v>92591.928000000044</v>
      </c>
      <c r="M46" s="214">
        <f>N46*O46*P46*Q46*1.3</f>
        <v>1031.5500000000004</v>
      </c>
      <c r="N46" s="172">
        <v>690</v>
      </c>
      <c r="O46" s="173">
        <v>1</v>
      </c>
      <c r="P46" s="173">
        <v>1</v>
      </c>
      <c r="Q46" s="27">
        <f>SUMPRODUCT(($BK$71:$BK$96&lt;I46)*(I46&lt;=$BL$71:$BL$96)*$BM$71:$BM$96)</f>
        <v>1.1500000000000004</v>
      </c>
      <c r="S46" s="175">
        <f>$S$49*D46/$D$49</f>
        <v>384496.58469945355</v>
      </c>
      <c r="T46" s="176">
        <f>S46*사업개요!$P$20</f>
        <v>307597.26775956288</v>
      </c>
      <c r="U46" s="175">
        <f t="shared" ref="U46:U48" si="62">T46*10%</f>
        <v>30759.726775956289</v>
      </c>
      <c r="V46" s="175">
        <f>(T46-U46)*사업개요!$I$22/12</f>
        <v>1107.3501639344265</v>
      </c>
      <c r="W46" s="175">
        <f t="shared" ref="W46:W48" si="63">S46/0.8</f>
        <v>480620.73087431694</v>
      </c>
      <c r="Y46" s="8">
        <f t="shared" ref="Y46:Y48" si="64">L46</f>
        <v>92591.928000000044</v>
      </c>
      <c r="Z46" s="116">
        <v>0.7</v>
      </c>
      <c r="AA46" s="115">
        <v>2.5000000000000001E-3</v>
      </c>
      <c r="AB46" s="8">
        <f t="shared" ref="AB46:AB48" si="65">Y46*Z46*AA46</f>
        <v>162.03587400000006</v>
      </c>
      <c r="AC46" s="8"/>
    </row>
    <row r="47" spans="1:69">
      <c r="A47" s="156"/>
      <c r="B47" s="156">
        <v>102</v>
      </c>
      <c r="C47" s="156">
        <v>0</v>
      </c>
      <c r="D47" s="157">
        <v>0</v>
      </c>
      <c r="E47" s="157">
        <v>0</v>
      </c>
      <c r="F47" s="157"/>
      <c r="G47" s="28">
        <f>$G$49*D47/$D$49</f>
        <v>0</v>
      </c>
      <c r="I47" s="171">
        <f t="shared" ref="I47:I48" si="66">I46</f>
        <v>2519</v>
      </c>
      <c r="J47" s="4">
        <f>G47*I47</f>
        <v>0</v>
      </c>
      <c r="L47" s="4">
        <f>M47*E47</f>
        <v>0</v>
      </c>
      <c r="M47" s="214">
        <f>N47*O47*P47*Q47*1</f>
        <v>793.50000000000023</v>
      </c>
      <c r="N47" s="4">
        <v>690</v>
      </c>
      <c r="O47" s="27">
        <f t="shared" ref="O47:P48" si="67">O45</f>
        <v>1</v>
      </c>
      <c r="P47" s="27">
        <f t="shared" si="67"/>
        <v>1</v>
      </c>
      <c r="Q47" s="27">
        <f>SUMPRODUCT(($BK$71:$BK$96&lt;I47)*(I47&lt;=$BL$71:$BL$96)*$BM$71:$BM$96)</f>
        <v>1.1500000000000004</v>
      </c>
      <c r="S47" s="175">
        <f>$S$49*D47/$D$49</f>
        <v>0</v>
      </c>
      <c r="T47" s="176">
        <f>S47*사업개요!$P$20</f>
        <v>0</v>
      </c>
      <c r="U47" s="175">
        <f t="shared" si="62"/>
        <v>0</v>
      </c>
      <c r="V47" s="175">
        <f>(T47-U47)*사업개요!$I$22/12</f>
        <v>0</v>
      </c>
      <c r="W47" s="175">
        <f t="shared" si="63"/>
        <v>0</v>
      </c>
      <c r="Y47" s="8">
        <f t="shared" si="64"/>
        <v>0</v>
      </c>
      <c r="Z47" s="116">
        <v>0.7</v>
      </c>
      <c r="AA47" s="115">
        <v>2.5000000000000001E-3</v>
      </c>
      <c r="AB47" s="8">
        <f t="shared" si="65"/>
        <v>0</v>
      </c>
      <c r="AC47" s="8"/>
      <c r="BK47" s="7" t="s">
        <v>207</v>
      </c>
    </row>
    <row r="48" spans="1:69" ht="17.25" thickBot="1">
      <c r="A48" s="156" t="s">
        <v>303</v>
      </c>
      <c r="B48" s="156">
        <v>301</v>
      </c>
      <c r="C48" s="156">
        <v>0</v>
      </c>
      <c r="D48" s="157">
        <v>0</v>
      </c>
      <c r="E48" s="157">
        <v>0</v>
      </c>
      <c r="F48" s="157"/>
      <c r="G48" s="28">
        <f>$G$49*D48/$D$49</f>
        <v>0</v>
      </c>
      <c r="I48" s="171">
        <f t="shared" si="66"/>
        <v>2519</v>
      </c>
      <c r="J48" s="4">
        <f>G48*I48</f>
        <v>0</v>
      </c>
      <c r="L48" s="4">
        <f>M48*E48</f>
        <v>0</v>
      </c>
      <c r="M48" s="215">
        <f>N48*O48*P48*Q48*1</f>
        <v>793.50000000000023</v>
      </c>
      <c r="N48" s="4">
        <v>690</v>
      </c>
      <c r="O48" s="27">
        <f t="shared" si="67"/>
        <v>1</v>
      </c>
      <c r="P48" s="27">
        <f t="shared" si="67"/>
        <v>1</v>
      </c>
      <c r="Q48" s="27">
        <f>SUMPRODUCT(($BK$71:$BK$96&lt;I48)*(I48&lt;=$BL$71:$BL$96)*$BM$71:$BM$96)</f>
        <v>1.1500000000000004</v>
      </c>
      <c r="S48" s="175">
        <f t="shared" ref="S48" si="68">$S$49*D48/$D$49</f>
        <v>0</v>
      </c>
      <c r="T48" s="176">
        <f>S48*사업개요!$P$20</f>
        <v>0</v>
      </c>
      <c r="U48" s="175">
        <f t="shared" si="62"/>
        <v>0</v>
      </c>
      <c r="V48" s="175">
        <f>(T48-U48)*사업개요!$I$22/12</f>
        <v>0</v>
      </c>
      <c r="W48" s="175">
        <f t="shared" si="63"/>
        <v>0</v>
      </c>
      <c r="Y48" s="8">
        <f t="shared" si="64"/>
        <v>0</v>
      </c>
      <c r="Z48" s="116">
        <v>0.7</v>
      </c>
      <c r="AA48" s="115">
        <v>2.5000000000000001E-3</v>
      </c>
      <c r="AB48" s="8">
        <f t="shared" si="65"/>
        <v>0</v>
      </c>
      <c r="AC48" s="8"/>
    </row>
    <row r="49" spans="1:69" ht="17.25" thickTop="1">
      <c r="A49" s="164" t="s">
        <v>208</v>
      </c>
      <c r="B49" s="165"/>
      <c r="C49" s="164">
        <f>SUM(C45:C48)</f>
        <v>2</v>
      </c>
      <c r="D49" s="166">
        <f>SUMPRODUCT($C$45:$C$48,D45:D48)</f>
        <v>183</v>
      </c>
      <c r="E49" s="166">
        <f>SUM(E45:E48)</f>
        <v>397.01</v>
      </c>
      <c r="F49" s="257"/>
      <c r="G49" s="167">
        <f>사업개요!C2*'사업자작성1(호별개요)'!D49/('사업자작성1(호별개요)'!D40+'사업자작성1(호별개요)'!D49)</f>
        <v>93.172098718914839</v>
      </c>
      <c r="I49" s="161">
        <f>SUMPRODUCT($C$45:$C$48,G45:G48,I45:I48)</f>
        <v>234700.51667294648</v>
      </c>
      <c r="J49" s="162">
        <f>SUM(J45:J48)</f>
        <v>234700.51667294648</v>
      </c>
      <c r="K49" s="48"/>
      <c r="L49" s="161">
        <f>SUMPRODUCT(C45:C48,L45:L48)</f>
        <v>336394.80300000007</v>
      </c>
      <c r="M49" s="174" t="s">
        <v>238</v>
      </c>
      <c r="N49" s="162"/>
      <c r="O49" s="162"/>
      <c r="P49" s="162"/>
      <c r="Q49" s="162"/>
      <c r="S49" s="163">
        <f>B60</f>
        <v>963875</v>
      </c>
      <c r="T49" s="163">
        <f>SUMPRODUCT(C45:C48,T45:T48)</f>
        <v>771100</v>
      </c>
      <c r="U49" s="163">
        <f>SUMPRODUCT(C45:C48,U45:U48)</f>
        <v>77110</v>
      </c>
      <c r="V49" s="163">
        <f>SUMPRODUCT(C45:C48,V45:V48)</f>
        <v>2775.9600000000005</v>
      </c>
      <c r="W49" s="163">
        <f>SUMPRODUCT(C45:C48,W45:W48)</f>
        <v>1204843.75</v>
      </c>
      <c r="X49" s="20"/>
      <c r="Y49" s="163">
        <f>SUMPRODUCT(C45:C48,Y45:Y48)</f>
        <v>336394.80300000007</v>
      </c>
      <c r="Z49" s="165"/>
      <c r="AA49" s="163"/>
      <c r="AB49" s="177">
        <f>SUMPRODUCT(C45:C48,AB45:AB48)</f>
        <v>588.69090525000013</v>
      </c>
      <c r="AC49" s="165"/>
      <c r="AD49" s="74"/>
      <c r="AE49" s="71"/>
      <c r="AF49" s="74"/>
      <c r="AG49" s="74"/>
      <c r="AH49" s="76"/>
      <c r="AI49" s="74"/>
      <c r="AJ49" s="71"/>
      <c r="AK49" s="74"/>
      <c r="AL49" s="74"/>
      <c r="AM49" s="76"/>
      <c r="AN49" s="74"/>
      <c r="AO49" s="76"/>
      <c r="AP49" s="71"/>
      <c r="AQ49" s="71"/>
      <c r="AR49" s="71"/>
      <c r="AS49" s="71"/>
      <c r="AT49" s="71"/>
      <c r="AU49" s="71"/>
      <c r="AV49" s="74"/>
      <c r="AW49" s="74"/>
      <c r="AX49" s="74"/>
      <c r="AY49" s="71"/>
      <c r="AZ49" s="71"/>
      <c r="BA49" s="168"/>
      <c r="BB49" s="168"/>
      <c r="BC49" s="71"/>
      <c r="BD49" s="71"/>
      <c r="BE49" s="71"/>
      <c r="BF49" s="74"/>
      <c r="BG49" s="74"/>
      <c r="BH49" s="74"/>
      <c r="BI49" s="74"/>
      <c r="BK49" s="38"/>
      <c r="BL49" s="38">
        <v>40</v>
      </c>
      <c r="BM49" s="36">
        <v>1</v>
      </c>
      <c r="BN49" s="36">
        <v>1</v>
      </c>
      <c r="BO49" s="36">
        <v>1</v>
      </c>
      <c r="BP49" s="36" t="s">
        <v>209</v>
      </c>
      <c r="BQ49" s="30"/>
    </row>
    <row r="50" spans="1:69">
      <c r="A50" s="295" t="s">
        <v>404</v>
      </c>
      <c r="AD50" s="71"/>
      <c r="AE50" s="71"/>
      <c r="AF50" s="71"/>
      <c r="AG50" s="71"/>
      <c r="AH50" s="76"/>
      <c r="AI50" s="71"/>
      <c r="AJ50" s="71"/>
      <c r="AK50" s="71"/>
      <c r="AL50" s="71"/>
      <c r="AM50" s="76"/>
      <c r="AN50" s="71"/>
      <c r="AO50" s="76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K50" s="38">
        <v>40</v>
      </c>
      <c r="BL50" s="38">
        <v>60</v>
      </c>
      <c r="BM50" s="36">
        <v>0.75</v>
      </c>
      <c r="BN50" s="36">
        <v>0.75</v>
      </c>
      <c r="BO50" s="36">
        <v>1</v>
      </c>
      <c r="BP50" s="36" t="s">
        <v>210</v>
      </c>
      <c r="BQ50" s="36"/>
    </row>
    <row r="51" spans="1:69">
      <c r="BK51" s="38">
        <v>60</v>
      </c>
      <c r="BL51" s="38">
        <v>85</v>
      </c>
      <c r="BM51" s="36">
        <v>0.5</v>
      </c>
      <c r="BN51" s="36">
        <v>0</v>
      </c>
      <c r="BO51" s="36">
        <v>0</v>
      </c>
      <c r="BP51" s="36" t="s">
        <v>209</v>
      </c>
      <c r="BQ51" s="30"/>
    </row>
    <row r="52" spans="1:69">
      <c r="A52" s="21" t="s">
        <v>220</v>
      </c>
      <c r="P52" s="216"/>
      <c r="Q52" s="216"/>
      <c r="R52" s="216"/>
      <c r="S52" s="216"/>
      <c r="T52" s="216"/>
      <c r="U52" s="216"/>
      <c r="BK52" s="38">
        <v>85</v>
      </c>
      <c r="BL52" s="38">
        <v>8500</v>
      </c>
      <c r="BM52" s="36">
        <v>0</v>
      </c>
      <c r="BN52" s="36">
        <v>0</v>
      </c>
      <c r="BO52" s="36">
        <v>0</v>
      </c>
      <c r="BP52" s="36"/>
      <c r="BQ52" s="30"/>
    </row>
    <row r="53" spans="1:69">
      <c r="A53" s="30" t="s">
        <v>75</v>
      </c>
      <c r="B53" s="126">
        <v>2519</v>
      </c>
      <c r="C53" s="128" t="s">
        <v>304</v>
      </c>
      <c r="P53" s="216"/>
      <c r="Q53" s="216" t="s">
        <v>211</v>
      </c>
      <c r="R53" s="218"/>
      <c r="S53" s="219">
        <f>S40/(J40+L40)</f>
        <v>1.9062436681732913</v>
      </c>
      <c r="T53" s="218"/>
      <c r="U53" s="216"/>
    </row>
    <row r="54" spans="1:69">
      <c r="B54" s="174" t="s">
        <v>231</v>
      </c>
      <c r="P54" s="216"/>
      <c r="Q54" s="218"/>
      <c r="R54" s="216"/>
      <c r="S54" s="216"/>
      <c r="T54" s="218"/>
      <c r="U54" s="216"/>
      <c r="BK54" s="7" t="s">
        <v>212</v>
      </c>
    </row>
    <row r="55" spans="1:69">
      <c r="A55" s="421" t="s">
        <v>239</v>
      </c>
      <c r="P55" s="216"/>
      <c r="Q55" s="218" t="s">
        <v>213</v>
      </c>
      <c r="R55" s="216"/>
      <c r="S55" s="217">
        <f>T40/E40</f>
        <v>2362.2833876045597</v>
      </c>
      <c r="T55" s="220"/>
      <c r="U55" s="216"/>
      <c r="BK55" s="30" t="s">
        <v>50</v>
      </c>
      <c r="BL55" s="30" t="s">
        <v>51</v>
      </c>
      <c r="BM55" s="30" t="s">
        <v>42</v>
      </c>
      <c r="BN55" s="37" t="s">
        <v>214</v>
      </c>
      <c r="BO55" s="30" t="s">
        <v>62</v>
      </c>
      <c r="BP55" s="30" t="s">
        <v>215</v>
      </c>
      <c r="BQ55" s="30"/>
    </row>
    <row r="56" spans="1:69">
      <c r="A56" s="30" t="s">
        <v>221</v>
      </c>
      <c r="B56" s="126">
        <v>5468125</v>
      </c>
      <c r="C56" s="129"/>
      <c r="E56" s="129" t="s">
        <v>297</v>
      </c>
      <c r="P56" s="216"/>
      <c r="Q56" s="218" t="s">
        <v>216</v>
      </c>
      <c r="R56" s="218"/>
      <c r="S56" s="217">
        <f>T49/E49</f>
        <v>1942.2684567139368</v>
      </c>
      <c r="T56" s="220">
        <f>S56/S55</f>
        <v>0.82219960014343019</v>
      </c>
      <c r="U56" s="216"/>
      <c r="BK56" s="38">
        <v>40</v>
      </c>
      <c r="BL56" s="38">
        <v>60</v>
      </c>
      <c r="BM56" s="36">
        <v>0.5</v>
      </c>
      <c r="BN56" s="36">
        <v>0.5</v>
      </c>
      <c r="BO56" s="36">
        <v>1</v>
      </c>
      <c r="BP56" s="36" t="s">
        <v>217</v>
      </c>
      <c r="BQ56" s="30"/>
    </row>
    <row r="57" spans="1:69">
      <c r="B57" s="174" t="s">
        <v>222</v>
      </c>
      <c r="E57" s="128" t="s">
        <v>298</v>
      </c>
      <c r="F57" s="126">
        <v>60</v>
      </c>
      <c r="G57" s="128" t="s">
        <v>301</v>
      </c>
      <c r="P57" s="216"/>
      <c r="Q57" s="216"/>
      <c r="R57" s="216"/>
      <c r="S57" s="216"/>
      <c r="T57" s="216"/>
      <c r="U57" s="216"/>
      <c r="BK57" s="38">
        <v>60</v>
      </c>
      <c r="BL57" s="38">
        <v>85</v>
      </c>
      <c r="BM57" s="36">
        <v>0.25</v>
      </c>
      <c r="BN57" s="36">
        <v>0</v>
      </c>
      <c r="BO57" s="36">
        <v>0</v>
      </c>
      <c r="BP57" s="36" t="s">
        <v>217</v>
      </c>
      <c r="BQ57" s="30"/>
    </row>
    <row r="58" spans="1:69" s="233" customFormat="1" ht="15.75" customHeight="1">
      <c r="A58" s="349" t="s">
        <v>410</v>
      </c>
      <c r="E58" s="423"/>
      <c r="F58" s="174"/>
      <c r="H58" s="221"/>
      <c r="K58" s="221"/>
      <c r="P58" s="424"/>
      <c r="Q58" s="424"/>
      <c r="R58" s="424"/>
      <c r="S58" s="424"/>
      <c r="T58" s="424"/>
      <c r="U58" s="424"/>
      <c r="X58" s="221"/>
      <c r="AH58" s="221"/>
      <c r="AM58" s="221"/>
      <c r="AO58" s="221"/>
      <c r="BK58" s="425">
        <v>85</v>
      </c>
      <c r="BL58" s="425">
        <v>8500</v>
      </c>
      <c r="BM58" s="426">
        <v>0</v>
      </c>
      <c r="BN58" s="426">
        <v>0</v>
      </c>
      <c r="BO58" s="426">
        <v>0</v>
      </c>
      <c r="BP58" s="426"/>
      <c r="BQ58" s="427"/>
    </row>
    <row r="59" spans="1:69">
      <c r="A59" s="21" t="s">
        <v>240</v>
      </c>
      <c r="E59" s="129" t="s">
        <v>299</v>
      </c>
      <c r="F59" s="7"/>
      <c r="P59" s="216"/>
      <c r="Q59" s="216"/>
      <c r="R59" s="216"/>
      <c r="S59" s="216"/>
      <c r="T59" s="216"/>
      <c r="U59" s="216"/>
    </row>
    <row r="60" spans="1:69">
      <c r="A60" s="30" t="s">
        <v>221</v>
      </c>
      <c r="B60" s="126">
        <v>963875</v>
      </c>
      <c r="C60" s="129"/>
      <c r="E60" s="128" t="s">
        <v>300</v>
      </c>
      <c r="F60" s="126">
        <v>55</v>
      </c>
      <c r="G60" s="128" t="s">
        <v>302</v>
      </c>
      <c r="P60" s="216"/>
      <c r="Q60" s="216"/>
      <c r="R60" s="216"/>
      <c r="S60" s="216"/>
      <c r="T60" s="216"/>
      <c r="U60" s="216"/>
      <c r="BK60" s="7" t="s">
        <v>218</v>
      </c>
    </row>
    <row r="61" spans="1:69">
      <c r="B61" s="174" t="s">
        <v>222</v>
      </c>
      <c r="P61" s="216"/>
      <c r="Q61" s="216"/>
      <c r="R61" s="216"/>
      <c r="S61" s="216"/>
      <c r="T61" s="216"/>
      <c r="U61" s="216"/>
      <c r="BK61" s="35" t="s">
        <v>50</v>
      </c>
      <c r="BL61" s="35" t="s">
        <v>51</v>
      </c>
      <c r="BM61" s="35" t="s">
        <v>219</v>
      </c>
    </row>
    <row r="62" spans="1:69" s="233" customFormat="1">
      <c r="A62" s="349" t="s">
        <v>410</v>
      </c>
      <c r="B62" s="174"/>
      <c r="E62" s="428"/>
      <c r="F62" s="429"/>
      <c r="H62" s="221"/>
      <c r="K62" s="221"/>
      <c r="P62" s="424"/>
      <c r="Q62" s="424"/>
      <c r="R62" s="424"/>
      <c r="S62" s="424"/>
      <c r="T62" s="424"/>
      <c r="U62" s="424"/>
      <c r="X62" s="221"/>
      <c r="AH62" s="221"/>
      <c r="AM62" s="221"/>
      <c r="AO62" s="221"/>
      <c r="BK62" s="430"/>
      <c r="BL62" s="430"/>
      <c r="BM62" s="430"/>
    </row>
    <row r="63" spans="1:69">
      <c r="B63" s="174"/>
      <c r="P63" s="216"/>
      <c r="Q63" s="216"/>
      <c r="R63" s="216"/>
      <c r="S63" s="216"/>
      <c r="T63" s="216"/>
      <c r="U63" s="216"/>
      <c r="BK63" s="35"/>
      <c r="BL63" s="35"/>
      <c r="BM63" s="35"/>
    </row>
    <row r="64" spans="1:69">
      <c r="A64" s="129" t="s">
        <v>292</v>
      </c>
      <c r="P64" s="216"/>
      <c r="Q64" s="216"/>
      <c r="R64" s="216"/>
      <c r="S64" s="216"/>
      <c r="T64" s="216"/>
      <c r="U64" s="216"/>
      <c r="BK64" s="35"/>
      <c r="BL64" s="35"/>
      <c r="BM64" s="35"/>
    </row>
    <row r="65" spans="1:65">
      <c r="A65" s="128" t="s">
        <v>293</v>
      </c>
      <c r="B65" s="273">
        <v>110</v>
      </c>
      <c r="P65" s="216"/>
      <c r="Q65" s="216"/>
      <c r="R65" s="216"/>
      <c r="S65" s="216"/>
      <c r="T65" s="216"/>
      <c r="U65" s="216"/>
      <c r="BK65" s="35"/>
      <c r="BL65" s="35"/>
      <c r="BM65" s="35"/>
    </row>
    <row r="66" spans="1:65">
      <c r="A66" s="129"/>
      <c r="B66" s="174" t="s">
        <v>294</v>
      </c>
      <c r="P66" s="216"/>
      <c r="Q66" s="216"/>
      <c r="R66" s="216"/>
      <c r="S66" s="216"/>
      <c r="T66" s="216"/>
      <c r="U66" s="216"/>
      <c r="BK66" s="35"/>
      <c r="BL66" s="35"/>
      <c r="BM66" s="35"/>
    </row>
    <row r="67" spans="1:65">
      <c r="A67" s="129"/>
      <c r="B67" s="174"/>
      <c r="P67" s="216"/>
      <c r="Q67" s="216"/>
      <c r="R67" s="216"/>
      <c r="S67" s="216"/>
      <c r="T67" s="216"/>
      <c r="U67" s="216"/>
      <c r="BK67" s="35"/>
      <c r="BL67" s="35"/>
      <c r="BM67" s="35"/>
    </row>
    <row r="68" spans="1:65">
      <c r="A68" s="129" t="s">
        <v>295</v>
      </c>
      <c r="P68" s="216"/>
      <c r="Q68" s="216"/>
      <c r="R68" s="216"/>
      <c r="S68" s="216"/>
      <c r="T68" s="216"/>
      <c r="U68" s="216"/>
      <c r="BK68" s="35"/>
      <c r="BL68" s="35"/>
      <c r="BM68" s="35"/>
    </row>
    <row r="69" spans="1:65">
      <c r="A69" s="128" t="s">
        <v>293</v>
      </c>
      <c r="B69" s="273">
        <v>150</v>
      </c>
      <c r="P69" s="216"/>
      <c r="Q69" s="216"/>
      <c r="R69" s="216"/>
      <c r="S69" s="216"/>
      <c r="T69" s="216"/>
      <c r="U69" s="216"/>
      <c r="BK69" s="35"/>
      <c r="BL69" s="35"/>
      <c r="BM69" s="35"/>
    </row>
    <row r="70" spans="1:65">
      <c r="A70" s="129"/>
      <c r="B70" s="174" t="s">
        <v>296</v>
      </c>
      <c r="P70" s="216"/>
      <c r="Q70" s="216"/>
      <c r="R70" s="216"/>
      <c r="S70" s="216"/>
      <c r="T70" s="216"/>
      <c r="U70" s="216"/>
      <c r="BK70" s="35"/>
      <c r="BL70" s="35"/>
      <c r="BM70" s="35"/>
    </row>
    <row r="71" spans="1:65">
      <c r="S71" s="27"/>
      <c r="T71" s="27"/>
      <c r="BK71" s="45">
        <v>0</v>
      </c>
      <c r="BL71" s="45">
        <v>10</v>
      </c>
      <c r="BM71" s="44">
        <v>0.8</v>
      </c>
    </row>
    <row r="72" spans="1:65">
      <c r="A72" s="221" t="s">
        <v>274</v>
      </c>
      <c r="B72" s="237"/>
      <c r="C72" s="21"/>
      <c r="D72" s="21"/>
      <c r="S72" s="27"/>
      <c r="T72" s="27"/>
      <c r="BK72" s="45">
        <v>10</v>
      </c>
      <c r="BL72" s="45">
        <v>30</v>
      </c>
      <c r="BM72" s="44">
        <v>0.82000000000000006</v>
      </c>
    </row>
    <row r="73" spans="1:65">
      <c r="A73" s="47"/>
      <c r="B73" s="23"/>
      <c r="C73" s="23"/>
      <c r="D73" s="23"/>
      <c r="E73" s="17"/>
      <c r="F73" s="254"/>
      <c r="G73" s="23"/>
      <c r="BK73" s="45">
        <v>30</v>
      </c>
      <c r="BL73" s="45">
        <v>50</v>
      </c>
      <c r="BM73" s="44">
        <v>0.84000000000000008</v>
      </c>
    </row>
    <row r="74" spans="1:65">
      <c r="A74" s="39" t="s">
        <v>170</v>
      </c>
      <c r="B74" s="39" t="s">
        <v>275</v>
      </c>
      <c r="C74" s="39" t="s">
        <v>276</v>
      </c>
      <c r="D74" s="39" t="s">
        <v>277</v>
      </c>
      <c r="E74" s="17" t="s">
        <v>278</v>
      </c>
      <c r="F74" s="130"/>
      <c r="H74" s="7"/>
      <c r="BK74" s="45">
        <v>50</v>
      </c>
      <c r="BL74" s="45">
        <v>100</v>
      </c>
      <c r="BM74" s="44">
        <v>0.8600000000000001</v>
      </c>
    </row>
    <row r="75" spans="1:65" s="240" customFormat="1">
      <c r="A75" s="238" t="s">
        <v>279</v>
      </c>
      <c r="B75" s="238"/>
      <c r="C75" s="238"/>
      <c r="D75" s="239"/>
      <c r="E75" s="239">
        <v>0</v>
      </c>
      <c r="F75" s="258"/>
      <c r="K75" s="241"/>
      <c r="R75" s="241"/>
      <c r="X75" s="241"/>
      <c r="AH75" s="241"/>
      <c r="AM75" s="241"/>
      <c r="AO75" s="241"/>
      <c r="BK75" s="242">
        <v>100</v>
      </c>
      <c r="BL75" s="242">
        <v>150</v>
      </c>
      <c r="BM75" s="243">
        <v>0.88000000000000012</v>
      </c>
    </row>
    <row r="76" spans="1:65" s="240" customFormat="1" ht="17.25" thickBot="1">
      <c r="A76" s="238" t="s">
        <v>280</v>
      </c>
      <c r="B76" s="238"/>
      <c r="C76" s="238"/>
      <c r="D76" s="239"/>
      <c r="E76" s="239">
        <v>0</v>
      </c>
      <c r="F76" s="258"/>
      <c r="K76" s="241"/>
      <c r="R76" s="241"/>
      <c r="X76" s="241"/>
      <c r="AH76" s="241"/>
      <c r="AM76" s="241"/>
      <c r="AO76" s="241"/>
      <c r="BK76" s="242">
        <v>150</v>
      </c>
      <c r="BL76" s="242">
        <v>200</v>
      </c>
      <c r="BM76" s="243">
        <v>0.90000000000000013</v>
      </c>
    </row>
    <row r="77" spans="1:65" ht="17.25" thickTop="1">
      <c r="A77" s="164" t="s">
        <v>281</v>
      </c>
      <c r="B77" s="165"/>
      <c r="C77" s="164"/>
      <c r="D77" s="166"/>
      <c r="E77" s="166">
        <f>SUM(E75:E76)</f>
        <v>0</v>
      </c>
      <c r="F77" s="259"/>
      <c r="G77" s="74"/>
      <c r="H77" s="71"/>
      <c r="I77" s="74"/>
      <c r="BK77" s="45">
        <v>200</v>
      </c>
      <c r="BL77" s="45">
        <v>350</v>
      </c>
      <c r="BM77" s="44">
        <v>0.92000000000000015</v>
      </c>
    </row>
    <row r="78" spans="1:65" ht="21" customHeight="1">
      <c r="A78" s="244" t="s">
        <v>282</v>
      </c>
      <c r="BK78" s="45">
        <v>350</v>
      </c>
      <c r="BL78" s="45">
        <v>500</v>
      </c>
      <c r="BM78" s="44">
        <v>0.94000000000000017</v>
      </c>
    </row>
    <row r="79" spans="1:65">
      <c r="BK79" s="45">
        <v>500</v>
      </c>
      <c r="BL79" s="45">
        <v>650</v>
      </c>
      <c r="BM79" s="44">
        <v>0.96000000000000019</v>
      </c>
    </row>
    <row r="80" spans="1:65">
      <c r="BK80" s="45">
        <v>650</v>
      </c>
      <c r="BL80" s="45">
        <v>800</v>
      </c>
      <c r="BM80" s="44">
        <v>0.9800000000000002</v>
      </c>
    </row>
    <row r="81" spans="5:69">
      <c r="BK81" s="45">
        <v>800</v>
      </c>
      <c r="BL81" s="45">
        <v>1000</v>
      </c>
      <c r="BM81" s="44">
        <v>1.0000000000000002</v>
      </c>
    </row>
    <row r="82" spans="5:69">
      <c r="BK82" s="45">
        <v>1000</v>
      </c>
      <c r="BL82" s="45">
        <v>1200</v>
      </c>
      <c r="BM82" s="44">
        <v>1.0300000000000002</v>
      </c>
    </row>
    <row r="83" spans="5:69">
      <c r="BK83" s="45">
        <v>1200</v>
      </c>
      <c r="BL83" s="45">
        <v>1600</v>
      </c>
      <c r="BM83" s="44">
        <v>1.0600000000000003</v>
      </c>
    </row>
    <row r="84" spans="5:69" s="8" customFormat="1">
      <c r="F84" s="138"/>
      <c r="H84" s="20"/>
      <c r="K84" s="20"/>
      <c r="R84" s="20"/>
      <c r="X84" s="20"/>
      <c r="AH84" s="20"/>
      <c r="AM84" s="20"/>
      <c r="AO84" s="20"/>
      <c r="BK84" s="45">
        <v>1600</v>
      </c>
      <c r="BL84" s="45">
        <v>2000</v>
      </c>
      <c r="BM84" s="44">
        <v>1.0900000000000003</v>
      </c>
      <c r="BN84" s="7"/>
      <c r="BO84" s="7"/>
      <c r="BP84" s="7"/>
      <c r="BQ84" s="7"/>
    </row>
    <row r="85" spans="5:69" s="8" customFormat="1">
      <c r="F85" s="138"/>
      <c r="H85" s="20"/>
      <c r="K85" s="20"/>
      <c r="R85" s="20"/>
      <c r="X85" s="20"/>
      <c r="AH85" s="20"/>
      <c r="AM85" s="20"/>
      <c r="AO85" s="20"/>
      <c r="BK85" s="45">
        <v>2000</v>
      </c>
      <c r="BL85" s="45">
        <v>2500</v>
      </c>
      <c r="BM85" s="44">
        <v>1.1200000000000003</v>
      </c>
    </row>
    <row r="86" spans="5:69">
      <c r="BK86" s="169">
        <v>2500</v>
      </c>
      <c r="BL86" s="169">
        <v>3000</v>
      </c>
      <c r="BM86" s="170">
        <v>1.1500000000000004</v>
      </c>
      <c r="BN86" s="8"/>
      <c r="BO86" s="8"/>
      <c r="BP86" s="8"/>
      <c r="BQ86" s="8"/>
    </row>
    <row r="87" spans="5:69">
      <c r="BK87" s="45">
        <v>3000</v>
      </c>
      <c r="BL87" s="45">
        <v>4000</v>
      </c>
      <c r="BM87" s="44">
        <v>1.1800000000000004</v>
      </c>
    </row>
    <row r="88" spans="5:69">
      <c r="BK88" s="45">
        <v>4000</v>
      </c>
      <c r="BL88" s="45">
        <v>5000</v>
      </c>
      <c r="BM88" s="44">
        <v>1.2100000000000004</v>
      </c>
    </row>
    <row r="89" spans="5:69">
      <c r="BK89" s="45">
        <v>5000</v>
      </c>
      <c r="BL89" s="45">
        <v>6000</v>
      </c>
      <c r="BM89" s="44">
        <v>1.2400000000000004</v>
      </c>
    </row>
    <row r="90" spans="5:69">
      <c r="E90" s="46"/>
      <c r="F90" s="260"/>
      <c r="G90" s="8"/>
      <c r="H90" s="20"/>
      <c r="BK90" s="45">
        <v>6000</v>
      </c>
      <c r="BL90" s="45">
        <v>7000</v>
      </c>
      <c r="BM90" s="44">
        <v>1.2700000000000005</v>
      </c>
    </row>
    <row r="91" spans="5:69">
      <c r="E91" s="46"/>
      <c r="F91" s="260"/>
      <c r="G91" s="8"/>
      <c r="H91" s="20"/>
      <c r="BK91" s="45">
        <v>7000</v>
      </c>
      <c r="BL91" s="45">
        <v>8000</v>
      </c>
      <c r="BM91" s="44">
        <v>1.3000000000000005</v>
      </c>
    </row>
    <row r="92" spans="5:69">
      <c r="E92" s="46"/>
      <c r="F92" s="260"/>
      <c r="G92" s="8"/>
      <c r="H92" s="20"/>
      <c r="BK92" s="45">
        <v>8000</v>
      </c>
      <c r="BL92" s="45">
        <v>9000</v>
      </c>
      <c r="BM92" s="44">
        <v>1.3300000000000005</v>
      </c>
    </row>
    <row r="93" spans="5:69">
      <c r="E93" s="46"/>
      <c r="F93" s="260"/>
      <c r="G93" s="8"/>
      <c r="H93" s="20"/>
      <c r="BK93" s="45">
        <v>9000</v>
      </c>
      <c r="BL93" s="45">
        <v>10000</v>
      </c>
      <c r="BM93" s="44">
        <v>1.3600000000000005</v>
      </c>
    </row>
    <row r="94" spans="5:69">
      <c r="E94" s="46"/>
      <c r="F94" s="260"/>
      <c r="G94" s="8"/>
      <c r="H94" s="20"/>
      <c r="BK94" s="45">
        <v>10000</v>
      </c>
      <c r="BL94" s="45">
        <v>30000</v>
      </c>
      <c r="BM94" s="44">
        <v>1.4</v>
      </c>
    </row>
    <row r="95" spans="5:69">
      <c r="E95" s="46"/>
      <c r="F95" s="260"/>
      <c r="G95" s="8"/>
      <c r="H95" s="20"/>
      <c r="BK95" s="45">
        <v>30000</v>
      </c>
      <c r="BL95" s="45">
        <v>50000</v>
      </c>
      <c r="BM95" s="44">
        <v>1.45</v>
      </c>
    </row>
    <row r="96" spans="5:69">
      <c r="E96" s="46"/>
      <c r="F96" s="260"/>
      <c r="G96" s="8"/>
      <c r="H96" s="20"/>
      <c r="BK96" s="72">
        <v>50000</v>
      </c>
      <c r="BL96" s="72">
        <v>50000000</v>
      </c>
      <c r="BM96" s="44">
        <v>1.5</v>
      </c>
    </row>
    <row r="97" spans="5:8">
      <c r="E97" s="46"/>
      <c r="F97" s="260"/>
      <c r="G97" s="8"/>
      <c r="H97" s="20"/>
    </row>
    <row r="98" spans="5:8">
      <c r="E98" s="46"/>
      <c r="F98" s="260"/>
      <c r="G98" s="8"/>
      <c r="H98" s="20"/>
    </row>
    <row r="99" spans="5:8">
      <c r="E99" s="46"/>
      <c r="F99" s="260"/>
      <c r="G99" s="8"/>
      <c r="H99" s="20"/>
    </row>
    <row r="100" spans="5:8">
      <c r="E100" s="46"/>
      <c r="F100" s="260"/>
      <c r="G100" s="8"/>
      <c r="H100" s="20"/>
    </row>
    <row r="101" spans="5:8">
      <c r="E101" s="46"/>
      <c r="F101" s="260"/>
      <c r="G101" s="8"/>
      <c r="H101" s="20"/>
    </row>
    <row r="102" spans="5:8">
      <c r="E102" s="46"/>
      <c r="F102" s="260"/>
      <c r="G102" s="8"/>
      <c r="H102" s="20"/>
    </row>
    <row r="103" spans="5:8">
      <c r="E103" s="46"/>
      <c r="F103" s="260"/>
      <c r="G103" s="8"/>
      <c r="H103" s="20"/>
    </row>
    <row r="104" spans="5:8">
      <c r="E104" s="46"/>
      <c r="F104" s="260"/>
      <c r="G104" s="8"/>
      <c r="H104" s="20"/>
    </row>
    <row r="105" spans="5:8">
      <c r="E105" s="46"/>
      <c r="F105" s="260"/>
      <c r="G105" s="8"/>
      <c r="H105" s="20"/>
    </row>
    <row r="106" spans="5:8">
      <c r="E106" s="46"/>
      <c r="F106" s="260"/>
      <c r="G106" s="8"/>
      <c r="H106" s="20"/>
    </row>
    <row r="107" spans="5:8">
      <c r="E107" s="46"/>
      <c r="F107" s="260"/>
      <c r="G107" s="8"/>
      <c r="H107" s="20"/>
    </row>
    <row r="108" spans="5:8">
      <c r="E108" s="46"/>
      <c r="F108" s="260"/>
      <c r="G108" s="8"/>
      <c r="H108" s="20"/>
    </row>
    <row r="109" spans="5:8">
      <c r="E109" s="46"/>
      <c r="F109" s="260"/>
      <c r="G109" s="8"/>
      <c r="H109" s="20"/>
    </row>
    <row r="110" spans="5:8">
      <c r="E110" s="46"/>
      <c r="F110" s="260"/>
      <c r="G110" s="8"/>
      <c r="H110" s="20"/>
    </row>
    <row r="111" spans="5:8">
      <c r="E111" s="46"/>
      <c r="F111" s="260"/>
      <c r="G111" s="8"/>
      <c r="H111" s="20"/>
    </row>
    <row r="112" spans="5:8">
      <c r="E112" s="46"/>
      <c r="F112" s="260"/>
      <c r="G112" s="8"/>
      <c r="H112" s="20"/>
    </row>
    <row r="113" spans="5:69">
      <c r="E113" s="46"/>
      <c r="F113" s="260"/>
      <c r="G113" s="8"/>
      <c r="H113" s="20"/>
    </row>
    <row r="114" spans="5:69">
      <c r="E114" s="46"/>
      <c r="F114" s="260"/>
      <c r="G114" s="8"/>
      <c r="H114" s="20"/>
    </row>
    <row r="115" spans="5:69" s="71" customFormat="1">
      <c r="E115" s="73"/>
      <c r="F115" s="260"/>
      <c r="G115" s="74"/>
      <c r="H115" s="75"/>
      <c r="K115" s="76"/>
      <c r="R115" s="76"/>
      <c r="X115" s="76"/>
      <c r="AH115" s="76"/>
      <c r="AM115" s="76"/>
      <c r="AO115" s="76"/>
      <c r="BK115" s="7"/>
      <c r="BL115" s="7"/>
      <c r="BM115" s="7"/>
      <c r="BN115" s="7"/>
      <c r="BO115" s="7"/>
      <c r="BP115" s="7"/>
      <c r="BQ115" s="7"/>
    </row>
    <row r="116" spans="5:69">
      <c r="BK116" s="71"/>
      <c r="BL116" s="71"/>
      <c r="BM116" s="71"/>
      <c r="BN116" s="71"/>
      <c r="BO116" s="71"/>
      <c r="BP116" s="71"/>
      <c r="BQ116" s="71"/>
    </row>
  </sheetData>
  <mergeCells count="2">
    <mergeCell ref="A1:J1"/>
    <mergeCell ref="A3:J3"/>
  </mergeCells>
  <phoneticPr fontId="2" type="noConversion"/>
  <pageMargins left="0.7" right="0.7" top="0.75" bottom="0.75" header="0.3" footer="0.3"/>
  <pageSetup paperSize="8" scale="29" orientation="landscape" verticalDpi="300" r:id="rId1"/>
  <colBreaks count="1" manualBreakCount="1">
    <brk id="32" min="4" max="9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K63"/>
  <sheetViews>
    <sheetView workbookViewId="0">
      <selection activeCell="C35" sqref="C35"/>
    </sheetView>
  </sheetViews>
  <sheetFormatPr defaultColWidth="9" defaultRowHeight="16.5"/>
  <cols>
    <col min="1" max="1" width="3.25" style="7" customWidth="1"/>
    <col min="2" max="2" width="9" style="7"/>
    <col min="3" max="3" width="16.75" style="7" customWidth="1"/>
    <col min="4" max="4" width="23" style="7" customWidth="1"/>
    <col min="5" max="5" width="14.25" style="7" customWidth="1"/>
    <col min="6" max="6" width="35.5" style="7" customWidth="1"/>
    <col min="7" max="16384" width="9" style="7"/>
  </cols>
  <sheetData>
    <row r="2" spans="2:11" ht="26.25">
      <c r="B2" s="441" t="s">
        <v>245</v>
      </c>
      <c r="C2" s="441"/>
      <c r="D2" s="441"/>
      <c r="E2" s="441"/>
      <c r="F2" s="441"/>
    </row>
    <row r="3" spans="2:11" s="347" customFormat="1" ht="19.5">
      <c r="B3" s="345" t="s">
        <v>246</v>
      </c>
      <c r="C3" s="346"/>
      <c r="D3" s="346"/>
      <c r="E3" s="346"/>
      <c r="F3" s="346"/>
    </row>
    <row r="4" spans="2:11" ht="26.25">
      <c r="B4" s="314" t="s">
        <v>358</v>
      </c>
      <c r="C4" s="285"/>
      <c r="D4" s="285"/>
      <c r="E4" s="285"/>
      <c r="F4" s="285"/>
    </row>
    <row r="5" spans="2:11" ht="17.25" thickBot="1">
      <c r="B5" s="223"/>
      <c r="F5" s="63" t="s">
        <v>247</v>
      </c>
    </row>
    <row r="6" spans="2:11" s="224" customFormat="1">
      <c r="B6" s="442" t="s">
        <v>248</v>
      </c>
      <c r="C6" s="443"/>
      <c r="D6" s="315" t="s">
        <v>249</v>
      </c>
      <c r="E6" s="316" t="s">
        <v>250</v>
      </c>
      <c r="F6" s="317" t="s">
        <v>251</v>
      </c>
    </row>
    <row r="7" spans="2:11" s="224" customFormat="1">
      <c r="B7" s="444" t="s">
        <v>252</v>
      </c>
      <c r="C7" s="274" t="s">
        <v>253</v>
      </c>
      <c r="D7" s="275" t="s">
        <v>360</v>
      </c>
      <c r="E7" s="276">
        <v>2997500</v>
      </c>
      <c r="F7" s="318" t="s">
        <v>254</v>
      </c>
    </row>
    <row r="8" spans="2:11" s="224" customFormat="1">
      <c r="B8" s="445"/>
      <c r="C8" s="277" t="s">
        <v>318</v>
      </c>
      <c r="D8" s="274" t="s">
        <v>365</v>
      </c>
      <c r="E8" s="278">
        <v>203830</v>
      </c>
      <c r="F8" s="319"/>
    </row>
    <row r="9" spans="2:11" s="224" customFormat="1">
      <c r="B9" s="445"/>
      <c r="C9" s="277" t="s">
        <v>255</v>
      </c>
      <c r="D9" s="274" t="s">
        <v>364</v>
      </c>
      <c r="E9" s="278">
        <v>71940</v>
      </c>
      <c r="F9" s="319" t="s">
        <v>256</v>
      </c>
    </row>
    <row r="10" spans="2:11" s="224" customFormat="1">
      <c r="B10" s="445"/>
      <c r="C10" s="277" t="s">
        <v>109</v>
      </c>
      <c r="D10" s="274"/>
      <c r="E10" s="276">
        <v>0</v>
      </c>
      <c r="F10" s="318" t="s">
        <v>257</v>
      </c>
    </row>
    <row r="11" spans="2:11" s="224" customFormat="1">
      <c r="B11" s="445"/>
      <c r="C11" s="277" t="s">
        <v>105</v>
      </c>
      <c r="D11" s="279" t="s">
        <v>305</v>
      </c>
      <c r="E11" s="278">
        <v>49900</v>
      </c>
      <c r="F11" s="319" t="s">
        <v>258</v>
      </c>
    </row>
    <row r="12" spans="2:11" s="224" customFormat="1">
      <c r="B12" s="445"/>
      <c r="C12" s="277" t="s">
        <v>108</v>
      </c>
      <c r="D12" s="279"/>
      <c r="E12" s="344">
        <v>124236</v>
      </c>
      <c r="F12" s="319" t="s">
        <v>258</v>
      </c>
    </row>
    <row r="13" spans="2:11" s="224" customFormat="1">
      <c r="B13" s="445"/>
      <c r="C13" s="277" t="s">
        <v>306</v>
      </c>
      <c r="D13" s="274"/>
      <c r="E13" s="276">
        <v>200000</v>
      </c>
      <c r="F13" s="318"/>
      <c r="K13" s="7"/>
    </row>
    <row r="14" spans="2:11" s="224" customFormat="1">
      <c r="B14" s="445"/>
      <c r="C14" s="225" t="s">
        <v>307</v>
      </c>
      <c r="D14" s="225" t="s">
        <v>308</v>
      </c>
      <c r="E14" s="226">
        <v>82000</v>
      </c>
      <c r="F14" s="318" t="s">
        <v>309</v>
      </c>
      <c r="K14" s="7"/>
    </row>
    <row r="15" spans="2:11" s="224" customFormat="1">
      <c r="B15" s="445"/>
      <c r="C15" s="274" t="s">
        <v>259</v>
      </c>
      <c r="D15" s="279" t="s">
        <v>310</v>
      </c>
      <c r="E15" s="276">
        <f>SUM(E7:E14)*0.03</f>
        <v>111882.18</v>
      </c>
      <c r="F15" s="318" t="s">
        <v>260</v>
      </c>
      <c r="K15" s="7"/>
    </row>
    <row r="16" spans="2:11" s="224" customFormat="1">
      <c r="B16" s="445"/>
      <c r="C16" s="274" t="s">
        <v>261</v>
      </c>
      <c r="D16" s="274"/>
      <c r="E16" s="276"/>
      <c r="F16" s="318"/>
      <c r="K16" s="7"/>
    </row>
    <row r="17" spans="2:6" s="224" customFormat="1">
      <c r="B17" s="446"/>
      <c r="C17" s="280" t="s">
        <v>262</v>
      </c>
      <c r="D17" s="280"/>
      <c r="E17" s="281">
        <f>SUM(E7:E16)</f>
        <v>3841288.18</v>
      </c>
      <c r="F17" s="320" t="s">
        <v>311</v>
      </c>
    </row>
    <row r="18" spans="2:6" s="224" customFormat="1">
      <c r="B18" s="447" t="s">
        <v>264</v>
      </c>
      <c r="C18" s="282" t="s">
        <v>265</v>
      </c>
      <c r="D18" s="275" t="s">
        <v>361</v>
      </c>
      <c r="E18" s="283">
        <v>95920</v>
      </c>
      <c r="F18" s="321" t="s">
        <v>266</v>
      </c>
    </row>
    <row r="19" spans="2:6" s="224" customFormat="1">
      <c r="B19" s="448"/>
      <c r="C19" s="274" t="s">
        <v>267</v>
      </c>
      <c r="D19" s="274" t="s">
        <v>362</v>
      </c>
      <c r="E19" s="276">
        <v>47960</v>
      </c>
      <c r="F19" s="322" t="s">
        <v>268</v>
      </c>
    </row>
    <row r="20" spans="2:6" s="224" customFormat="1">
      <c r="B20" s="448"/>
      <c r="C20" s="225"/>
      <c r="D20" s="229"/>
      <c r="E20" s="228"/>
      <c r="F20" s="319"/>
    </row>
    <row r="21" spans="2:6" s="224" customFormat="1">
      <c r="B21" s="448"/>
      <c r="C21" s="225"/>
      <c r="D21" s="229"/>
      <c r="E21" s="228"/>
      <c r="F21" s="319"/>
    </row>
    <row r="22" spans="2:6" s="224" customFormat="1">
      <c r="B22" s="448"/>
      <c r="C22" s="225"/>
      <c r="D22" s="229"/>
      <c r="E22" s="228"/>
      <c r="F22" s="319"/>
    </row>
    <row r="23" spans="2:6" s="224" customFormat="1">
      <c r="B23" s="448"/>
      <c r="C23" s="231" t="s">
        <v>261</v>
      </c>
      <c r="D23" s="231"/>
      <c r="E23" s="232"/>
      <c r="F23" s="323"/>
    </row>
    <row r="24" spans="2:6" s="224" customFormat="1">
      <c r="B24" s="449"/>
      <c r="C24" s="286" t="s">
        <v>262</v>
      </c>
      <c r="D24" s="286"/>
      <c r="E24" s="230">
        <f>SUM(E18:E23)</f>
        <v>143880</v>
      </c>
      <c r="F24" s="324"/>
    </row>
    <row r="25" spans="2:6" s="224" customFormat="1">
      <c r="B25" s="447" t="s">
        <v>269</v>
      </c>
      <c r="C25" s="284" t="s">
        <v>270</v>
      </c>
      <c r="D25" s="279" t="s">
        <v>312</v>
      </c>
      <c r="E25" s="276">
        <f>E17*0.08</f>
        <v>307303.05440000002</v>
      </c>
      <c r="F25" s="321" t="s">
        <v>271</v>
      </c>
    </row>
    <row r="26" spans="2:6" s="224" customFormat="1">
      <c r="B26" s="448"/>
      <c r="C26" s="277" t="s">
        <v>272</v>
      </c>
      <c r="D26" s="279" t="s">
        <v>313</v>
      </c>
      <c r="E26" s="276">
        <f>E17*0.02</f>
        <v>76825.763600000006</v>
      </c>
      <c r="F26" s="322"/>
    </row>
    <row r="27" spans="2:6" s="224" customFormat="1">
      <c r="B27" s="448"/>
      <c r="C27" s="227"/>
      <c r="D27" s="229"/>
      <c r="E27" s="228"/>
      <c r="F27" s="319"/>
    </row>
    <row r="28" spans="2:6" s="224" customFormat="1">
      <c r="B28" s="448"/>
      <c r="C28" s="225"/>
      <c r="D28" s="229"/>
      <c r="E28" s="228"/>
      <c r="F28" s="319"/>
    </row>
    <row r="29" spans="2:6" s="224" customFormat="1">
      <c r="B29" s="448"/>
      <c r="C29" s="225"/>
      <c r="D29" s="229"/>
      <c r="E29" s="228"/>
      <c r="F29" s="319"/>
    </row>
    <row r="30" spans="2:6" s="224" customFormat="1">
      <c r="B30" s="448"/>
      <c r="C30" s="225" t="s">
        <v>261</v>
      </c>
      <c r="D30" s="229"/>
      <c r="E30" s="228"/>
      <c r="F30" s="319"/>
    </row>
    <row r="31" spans="2:6" s="224" customFormat="1">
      <c r="B31" s="448"/>
      <c r="C31" s="231" t="s">
        <v>261</v>
      </c>
      <c r="D31" s="231"/>
      <c r="E31" s="232"/>
      <c r="F31" s="323"/>
    </row>
    <row r="32" spans="2:6" s="224" customFormat="1">
      <c r="B32" s="449"/>
      <c r="C32" s="286" t="s">
        <v>262</v>
      </c>
      <c r="D32" s="286"/>
      <c r="E32" s="230">
        <f>SUM(E25:E31)</f>
        <v>384128.81800000003</v>
      </c>
      <c r="F32" s="324"/>
    </row>
    <row r="33" spans="2:6" s="224" customFormat="1" ht="17.25" thickBot="1">
      <c r="B33" s="439" t="s">
        <v>273</v>
      </c>
      <c r="C33" s="440"/>
      <c r="D33" s="325"/>
      <c r="E33" s="326">
        <f>E17+E24+E32</f>
        <v>4369296.9980000006</v>
      </c>
      <c r="F33" s="327" t="s">
        <v>263</v>
      </c>
    </row>
    <row r="34" spans="2:6">
      <c r="B34" s="244" t="s">
        <v>321</v>
      </c>
    </row>
    <row r="35" spans="2:6">
      <c r="B35" s="348"/>
    </row>
    <row r="37" spans="2:6" ht="26.25">
      <c r="B37" s="314" t="s">
        <v>359</v>
      </c>
      <c r="C37" s="285"/>
      <c r="D37" s="285"/>
      <c r="E37" s="285"/>
      <c r="F37" s="285"/>
    </row>
    <row r="38" spans="2:6" ht="17.25" thickBot="1">
      <c r="B38" s="223"/>
      <c r="F38" s="63" t="s">
        <v>247</v>
      </c>
    </row>
    <row r="39" spans="2:6">
      <c r="B39" s="442" t="s">
        <v>248</v>
      </c>
      <c r="C39" s="443"/>
      <c r="D39" s="315" t="s">
        <v>249</v>
      </c>
      <c r="E39" s="316" t="s">
        <v>250</v>
      </c>
      <c r="F39" s="317" t="s">
        <v>251</v>
      </c>
    </row>
    <row r="40" spans="2:6">
      <c r="B40" s="444" t="s">
        <v>252</v>
      </c>
      <c r="C40" s="274" t="s">
        <v>253</v>
      </c>
      <c r="D40" s="275" t="s">
        <v>366</v>
      </c>
      <c r="E40" s="276">
        <v>84500</v>
      </c>
      <c r="F40" s="318" t="s">
        <v>254</v>
      </c>
    </row>
    <row r="41" spans="2:6">
      <c r="B41" s="445"/>
      <c r="C41" s="277" t="s">
        <v>255</v>
      </c>
      <c r="D41" s="274" t="s">
        <v>363</v>
      </c>
      <c r="E41" s="278">
        <v>3900</v>
      </c>
      <c r="F41" s="319" t="s">
        <v>256</v>
      </c>
    </row>
    <row r="42" spans="2:6">
      <c r="B42" s="445"/>
      <c r="C42" s="277" t="s">
        <v>109</v>
      </c>
      <c r="D42" s="274"/>
      <c r="E42" s="276">
        <v>0</v>
      </c>
      <c r="F42" s="318" t="s">
        <v>257</v>
      </c>
    </row>
    <row r="43" spans="2:6">
      <c r="B43" s="445"/>
      <c r="C43" s="277" t="s">
        <v>108</v>
      </c>
      <c r="D43" s="279"/>
      <c r="E43" s="278">
        <v>5500</v>
      </c>
      <c r="F43" s="319" t="s">
        <v>258</v>
      </c>
    </row>
    <row r="44" spans="2:6">
      <c r="B44" s="445"/>
      <c r="C44" s="225" t="s">
        <v>307</v>
      </c>
      <c r="D44" s="225" t="s">
        <v>367</v>
      </c>
      <c r="E44" s="226">
        <v>6000</v>
      </c>
      <c r="F44" s="318" t="s">
        <v>309</v>
      </c>
    </row>
    <row r="45" spans="2:6">
      <c r="B45" s="445"/>
      <c r="C45" s="274" t="s">
        <v>259</v>
      </c>
      <c r="D45" s="279" t="s">
        <v>310</v>
      </c>
      <c r="E45" s="276">
        <f>SUM(E40:E44)*0.03</f>
        <v>2997</v>
      </c>
      <c r="F45" s="318" t="s">
        <v>260</v>
      </c>
    </row>
    <row r="46" spans="2:6">
      <c r="B46" s="445"/>
      <c r="C46" s="274" t="s">
        <v>261</v>
      </c>
      <c r="D46" s="274"/>
      <c r="E46" s="276"/>
      <c r="F46" s="318"/>
    </row>
    <row r="47" spans="2:6">
      <c r="B47" s="446"/>
      <c r="C47" s="280" t="s">
        <v>262</v>
      </c>
      <c r="D47" s="280"/>
      <c r="E47" s="281">
        <f>SUM(E40:E46)</f>
        <v>102897</v>
      </c>
      <c r="F47" s="320" t="s">
        <v>311</v>
      </c>
    </row>
    <row r="48" spans="2:6">
      <c r="B48" s="447" t="s">
        <v>264</v>
      </c>
      <c r="C48" s="282" t="s">
        <v>265</v>
      </c>
      <c r="D48" s="275" t="s">
        <v>368</v>
      </c>
      <c r="E48" s="283">
        <v>7800</v>
      </c>
      <c r="F48" s="321" t="s">
        <v>266</v>
      </c>
    </row>
    <row r="49" spans="2:6">
      <c r="B49" s="448"/>
      <c r="C49" s="274" t="s">
        <v>267</v>
      </c>
      <c r="D49" s="274" t="s">
        <v>369</v>
      </c>
      <c r="E49" s="276">
        <v>3900</v>
      </c>
      <c r="F49" s="322" t="s">
        <v>268</v>
      </c>
    </row>
    <row r="50" spans="2:6">
      <c r="B50" s="448"/>
      <c r="C50" s="225"/>
      <c r="D50" s="229"/>
      <c r="E50" s="228"/>
      <c r="F50" s="319"/>
    </row>
    <row r="51" spans="2:6">
      <c r="B51" s="448"/>
      <c r="C51" s="225"/>
      <c r="D51" s="229"/>
      <c r="E51" s="228"/>
      <c r="F51" s="319"/>
    </row>
    <row r="52" spans="2:6">
      <c r="B52" s="448"/>
      <c r="C52" s="225"/>
      <c r="D52" s="229"/>
      <c r="E52" s="228"/>
      <c r="F52" s="319"/>
    </row>
    <row r="53" spans="2:6">
      <c r="B53" s="448"/>
      <c r="C53" s="231" t="s">
        <v>261</v>
      </c>
      <c r="D53" s="231"/>
      <c r="E53" s="232"/>
      <c r="F53" s="323"/>
    </row>
    <row r="54" spans="2:6">
      <c r="B54" s="449"/>
      <c r="C54" s="286" t="s">
        <v>262</v>
      </c>
      <c r="D54" s="286"/>
      <c r="E54" s="230">
        <f>SUM(E48:E53)</f>
        <v>11700</v>
      </c>
      <c r="F54" s="324"/>
    </row>
    <row r="55" spans="2:6">
      <c r="B55" s="447" t="s">
        <v>269</v>
      </c>
      <c r="C55" s="284" t="s">
        <v>270</v>
      </c>
      <c r="D55" s="279" t="s">
        <v>371</v>
      </c>
      <c r="E55" s="276">
        <f>E47*0.05</f>
        <v>5144.8500000000004</v>
      </c>
      <c r="F55" s="321" t="s">
        <v>370</v>
      </c>
    </row>
    <row r="56" spans="2:6">
      <c r="B56" s="448"/>
      <c r="C56" s="277" t="s">
        <v>272</v>
      </c>
      <c r="D56" s="279" t="s">
        <v>313</v>
      </c>
      <c r="E56" s="276">
        <f>E47*0.02</f>
        <v>2057.94</v>
      </c>
      <c r="F56" s="322"/>
    </row>
    <row r="57" spans="2:6">
      <c r="B57" s="448"/>
      <c r="C57" s="227"/>
      <c r="D57" s="229"/>
      <c r="E57" s="228"/>
      <c r="F57" s="319"/>
    </row>
    <row r="58" spans="2:6">
      <c r="B58" s="448"/>
      <c r="C58" s="225"/>
      <c r="D58" s="229"/>
      <c r="E58" s="228"/>
      <c r="F58" s="319"/>
    </row>
    <row r="59" spans="2:6">
      <c r="B59" s="448"/>
      <c r="C59" s="225"/>
      <c r="D59" s="229"/>
      <c r="E59" s="228"/>
      <c r="F59" s="319"/>
    </row>
    <row r="60" spans="2:6">
      <c r="B60" s="448"/>
      <c r="C60" s="225" t="s">
        <v>261</v>
      </c>
      <c r="D60" s="229"/>
      <c r="E60" s="228"/>
      <c r="F60" s="319"/>
    </row>
    <row r="61" spans="2:6">
      <c r="B61" s="448"/>
      <c r="C61" s="231" t="s">
        <v>261</v>
      </c>
      <c r="D61" s="231"/>
      <c r="E61" s="232"/>
      <c r="F61" s="323"/>
    </row>
    <row r="62" spans="2:6">
      <c r="B62" s="449"/>
      <c r="C62" s="286" t="s">
        <v>262</v>
      </c>
      <c r="D62" s="286"/>
      <c r="E62" s="230">
        <f>SUM(E55:E61)</f>
        <v>7202.7900000000009</v>
      </c>
      <c r="F62" s="324"/>
    </row>
    <row r="63" spans="2:6" ht="17.25" thickBot="1">
      <c r="B63" s="439" t="s">
        <v>273</v>
      </c>
      <c r="C63" s="440"/>
      <c r="D63" s="325"/>
      <c r="E63" s="326">
        <f>E47+E54+E62</f>
        <v>121799.79000000001</v>
      </c>
      <c r="F63" s="327" t="s">
        <v>263</v>
      </c>
    </row>
  </sheetData>
  <mergeCells count="11">
    <mergeCell ref="B39:C39"/>
    <mergeCell ref="B40:B47"/>
    <mergeCell ref="B48:B54"/>
    <mergeCell ref="B55:B62"/>
    <mergeCell ref="B63:C63"/>
    <mergeCell ref="B33:C33"/>
    <mergeCell ref="B2:F2"/>
    <mergeCell ref="B6:C6"/>
    <mergeCell ref="B7:B17"/>
    <mergeCell ref="B18:B24"/>
    <mergeCell ref="B25:B32"/>
  </mergeCells>
  <phoneticPr fontId="2" type="noConversion"/>
  <pageMargins left="0.25" right="0.25" top="0.75" bottom="0.75" header="0.3" footer="0.3"/>
  <pageSetup paperSize="9" scale="7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showGridLines="0" zoomScaleNormal="100" workbookViewId="0">
      <selection activeCell="K17" sqref="K17"/>
    </sheetView>
  </sheetViews>
  <sheetFormatPr defaultColWidth="9" defaultRowHeight="16.5"/>
  <cols>
    <col min="1" max="1" width="2.875" style="7" customWidth="1"/>
    <col min="2" max="2" width="11.125" style="7" customWidth="1"/>
    <col min="3" max="3" width="13.25" style="7" bestFit="1" customWidth="1"/>
    <col min="4" max="4" width="1.125" style="63" customWidth="1"/>
    <col min="5" max="5" width="17.875" style="63" customWidth="1"/>
    <col min="6" max="6" width="17.625" style="7" bestFit="1" customWidth="1"/>
    <col min="7" max="7" width="11.75" style="7" bestFit="1" customWidth="1"/>
    <col min="8" max="8" width="15.75" style="7" bestFit="1" customWidth="1"/>
    <col min="9" max="9" width="9.75" style="7" bestFit="1" customWidth="1"/>
    <col min="10" max="10" width="9" style="7"/>
    <col min="11" max="11" width="22.25" style="7" customWidth="1"/>
    <col min="12" max="12" width="14.5" style="7" customWidth="1"/>
    <col min="13" max="13" width="36" style="7" customWidth="1"/>
    <col min="14" max="16384" width="9" style="7"/>
  </cols>
  <sheetData>
    <row r="1" spans="1:13" s="248" customFormat="1" ht="72" customHeight="1" thickBot="1">
      <c r="A1" s="454" t="s">
        <v>406</v>
      </c>
      <c r="B1" s="454"/>
      <c r="C1" s="454"/>
      <c r="D1" s="454"/>
      <c r="E1" s="454"/>
      <c r="F1" s="454"/>
      <c r="G1" s="454"/>
      <c r="H1" s="454"/>
      <c r="K1" s="409" t="s">
        <v>381</v>
      </c>
      <c r="L1" s="410" t="s">
        <v>382</v>
      </c>
      <c r="M1" s="411" t="s">
        <v>383</v>
      </c>
    </row>
    <row r="2" spans="1:13" s="248" customFormat="1" ht="20.25">
      <c r="A2" s="234" t="s">
        <v>159</v>
      </c>
      <c r="B2" s="235"/>
      <c r="C2" s="235"/>
      <c r="D2" s="236"/>
      <c r="E2" s="236"/>
      <c r="F2" s="235"/>
      <c r="G2" s="235"/>
      <c r="H2" s="235"/>
      <c r="K2" s="450" t="s">
        <v>384</v>
      </c>
      <c r="L2" s="412" t="s">
        <v>385</v>
      </c>
      <c r="M2" s="413"/>
    </row>
    <row r="3" spans="1:13">
      <c r="J3" s="180"/>
      <c r="K3" s="455"/>
      <c r="L3" s="414" t="s">
        <v>386</v>
      </c>
      <c r="M3" s="415"/>
    </row>
    <row r="4" spans="1:13">
      <c r="A4" s="23" t="s">
        <v>40</v>
      </c>
      <c r="B4" s="23" t="s">
        <v>343</v>
      </c>
      <c r="C4" s="336" t="s">
        <v>325</v>
      </c>
      <c r="D4" s="19"/>
      <c r="E4" s="23" t="s">
        <v>345</v>
      </c>
      <c r="F4" s="23"/>
      <c r="G4" s="335" t="s">
        <v>325</v>
      </c>
      <c r="H4" s="129"/>
      <c r="J4" s="180"/>
      <c r="K4" s="451"/>
      <c r="L4" s="414" t="s">
        <v>387</v>
      </c>
      <c r="M4" s="415"/>
    </row>
    <row r="5" spans="1:13" ht="17.25" thickBot="1">
      <c r="A5" s="128" t="s">
        <v>0</v>
      </c>
      <c r="B5" s="128"/>
      <c r="C5" s="123">
        <v>648.6</v>
      </c>
      <c r="D5" s="132"/>
      <c r="E5" s="128" t="s">
        <v>375</v>
      </c>
      <c r="F5" s="126">
        <v>3850000</v>
      </c>
      <c r="G5" s="128" t="s">
        <v>315</v>
      </c>
      <c r="H5" s="130"/>
      <c r="I5" s="55"/>
      <c r="J5" s="180"/>
      <c r="K5" s="452" t="s">
        <v>388</v>
      </c>
      <c r="L5" s="453"/>
      <c r="M5" s="416"/>
    </row>
    <row r="6" spans="1:13">
      <c r="A6" s="128" t="s">
        <v>1</v>
      </c>
      <c r="B6" s="128"/>
      <c r="C6" s="245">
        <f>C8+C9+C10+C12</f>
        <v>2398.8199999999997</v>
      </c>
      <c r="D6" s="54"/>
      <c r="E6" s="349" t="s">
        <v>408</v>
      </c>
      <c r="F6" s="130"/>
      <c r="G6" s="222"/>
      <c r="H6" s="130"/>
      <c r="I6" s="61"/>
      <c r="J6" s="180"/>
      <c r="K6" s="450" t="s">
        <v>389</v>
      </c>
      <c r="L6" s="412" t="s">
        <v>390</v>
      </c>
      <c r="M6" s="413"/>
    </row>
    <row r="7" spans="1:13">
      <c r="A7" s="128" t="s">
        <v>2</v>
      </c>
      <c r="B7" s="128"/>
      <c r="C7" s="124">
        <v>3.1190000000000002</v>
      </c>
      <c r="D7" s="54"/>
      <c r="E7" s="23" t="s">
        <v>346</v>
      </c>
      <c r="F7" s="23"/>
      <c r="G7" s="338" t="s">
        <v>326</v>
      </c>
      <c r="H7" s="130"/>
      <c r="I7" s="55"/>
      <c r="J7" s="180"/>
      <c r="K7" s="455"/>
      <c r="L7" s="414" t="s">
        <v>391</v>
      </c>
      <c r="M7" s="415"/>
    </row>
    <row r="8" spans="1:13">
      <c r="A8" s="128" t="s">
        <v>68</v>
      </c>
      <c r="B8" s="128"/>
      <c r="C8" s="245">
        <f>'사업자작성1(호별개요)'!E40</f>
        <v>1851.81</v>
      </c>
      <c r="D8" s="54"/>
      <c r="E8" s="128" t="s">
        <v>374</v>
      </c>
      <c r="F8" s="126">
        <v>250000</v>
      </c>
      <c r="G8" s="128" t="s">
        <v>315</v>
      </c>
      <c r="H8" s="287"/>
      <c r="I8" s="55"/>
      <c r="J8" s="180"/>
      <c r="K8" s="455"/>
      <c r="L8" s="414" t="s">
        <v>392</v>
      </c>
      <c r="M8" s="415"/>
    </row>
    <row r="9" spans="1:13">
      <c r="A9" s="128" t="s">
        <v>114</v>
      </c>
      <c r="B9" s="128"/>
      <c r="C9" s="245">
        <f>'사업자작성1(호별개요)'!E49</f>
        <v>397.01</v>
      </c>
      <c r="D9" s="54"/>
      <c r="E9" s="349" t="s">
        <v>408</v>
      </c>
      <c r="F9" s="130"/>
      <c r="G9" s="129"/>
      <c r="H9" s="133"/>
      <c r="J9" s="180"/>
      <c r="K9" s="451"/>
      <c r="L9" s="414" t="s">
        <v>393</v>
      </c>
      <c r="M9" s="415"/>
    </row>
    <row r="10" spans="1:13" ht="17.25" thickBot="1">
      <c r="A10" s="128" t="s">
        <v>79</v>
      </c>
      <c r="B10" s="128"/>
      <c r="C10" s="245">
        <f>'사업자작성1(호별개요)'!E77</f>
        <v>0</v>
      </c>
      <c r="D10" s="54"/>
      <c r="E10" s="21" t="s">
        <v>342</v>
      </c>
      <c r="F10" s="130"/>
      <c r="G10" s="335" t="s">
        <v>325</v>
      </c>
      <c r="J10" s="180"/>
      <c r="K10" s="452" t="s">
        <v>394</v>
      </c>
      <c r="L10" s="453"/>
      <c r="M10" s="416"/>
    </row>
    <row r="11" spans="1:13">
      <c r="A11" s="128" t="s">
        <v>161</v>
      </c>
      <c r="B11" s="128"/>
      <c r="C11" s="144">
        <v>3.18</v>
      </c>
      <c r="E11" s="128" t="s">
        <v>102</v>
      </c>
      <c r="F11" s="31">
        <f>G11*C6</f>
        <v>3854903.7399999998</v>
      </c>
      <c r="G11" s="135">
        <v>1607</v>
      </c>
      <c r="H11" s="155"/>
      <c r="J11" s="180"/>
      <c r="K11" s="450" t="s">
        <v>395</v>
      </c>
      <c r="L11" s="412" t="s">
        <v>396</v>
      </c>
      <c r="M11" s="413"/>
    </row>
    <row r="12" spans="1:13">
      <c r="A12" s="128" t="s">
        <v>314</v>
      </c>
      <c r="B12" s="128"/>
      <c r="C12" s="245">
        <f>'사업자작성1(호별개요)'!B69</f>
        <v>150</v>
      </c>
      <c r="E12" s="30" t="s">
        <v>104</v>
      </c>
      <c r="F12" s="125">
        <f>SUM(F13:F15)</f>
        <v>174136</v>
      </c>
      <c r="G12" s="343" t="s">
        <v>379</v>
      </c>
      <c r="J12" s="180"/>
      <c r="K12" s="451"/>
      <c r="L12" s="414" t="s">
        <v>397</v>
      </c>
      <c r="M12" s="415"/>
    </row>
    <row r="13" spans="1:13" ht="17.25" thickBot="1">
      <c r="A13" s="129"/>
      <c r="B13" s="129"/>
      <c r="C13" s="309"/>
      <c r="E13" s="136" t="s">
        <v>109</v>
      </c>
      <c r="F13" s="137">
        <f>G13*H11</f>
        <v>0</v>
      </c>
      <c r="G13" s="123">
        <v>0</v>
      </c>
      <c r="H13" s="155">
        <v>102</v>
      </c>
      <c r="J13" s="180"/>
      <c r="K13" s="452" t="s">
        <v>398</v>
      </c>
      <c r="L13" s="453"/>
      <c r="M13" s="416"/>
    </row>
    <row r="14" spans="1:13">
      <c r="A14" s="23" t="s">
        <v>40</v>
      </c>
      <c r="B14" s="23" t="s">
        <v>344</v>
      </c>
      <c r="C14" s="337" t="s">
        <v>326</v>
      </c>
      <c r="E14" s="136" t="s">
        <v>105</v>
      </c>
      <c r="F14" s="247">
        <f>'사업자작성2(건축사업비산출)'!E11</f>
        <v>49900</v>
      </c>
      <c r="G14" s="343" t="s">
        <v>379</v>
      </c>
      <c r="H14" s="223"/>
      <c r="J14" s="180"/>
      <c r="K14" s="450" t="s">
        <v>399</v>
      </c>
      <c r="L14" s="412" t="s">
        <v>400</v>
      </c>
      <c r="M14" s="413"/>
    </row>
    <row r="15" spans="1:13">
      <c r="A15" s="128" t="s">
        <v>0</v>
      </c>
      <c r="B15" s="128"/>
      <c r="C15" s="123">
        <v>55</v>
      </c>
      <c r="E15" s="136" t="s">
        <v>108</v>
      </c>
      <c r="F15" s="247">
        <f>'사업자작성2(건축사업비산출)'!E12</f>
        <v>124236</v>
      </c>
      <c r="G15" s="343" t="s">
        <v>379</v>
      </c>
      <c r="H15" s="223"/>
      <c r="J15" s="180"/>
      <c r="K15" s="451"/>
      <c r="L15" s="414" t="s">
        <v>401</v>
      </c>
      <c r="M15" s="415"/>
    </row>
    <row r="16" spans="1:13" ht="17.25" thickBot="1">
      <c r="A16" s="128" t="s">
        <v>327</v>
      </c>
      <c r="B16" s="128"/>
      <c r="C16" s="123">
        <v>110</v>
      </c>
      <c r="D16" s="131"/>
      <c r="E16" s="30" t="s">
        <v>106</v>
      </c>
      <c r="F16" s="31">
        <f>(F11+F12)*(1+G16)</f>
        <v>4118081.5182539998</v>
      </c>
      <c r="G16" s="29">
        <v>2.2100000000000002E-2</v>
      </c>
      <c r="H16" s="223"/>
      <c r="J16" s="180"/>
      <c r="K16" s="452" t="s">
        <v>402</v>
      </c>
      <c r="L16" s="453"/>
      <c r="M16" s="416"/>
    </row>
    <row r="17" spans="1:11">
      <c r="A17" s="128" t="s">
        <v>328</v>
      </c>
      <c r="B17" s="128"/>
      <c r="C17" s="123">
        <v>20</v>
      </c>
      <c r="D17" s="146"/>
      <c r="E17" s="141" t="s">
        <v>107</v>
      </c>
      <c r="F17" s="288">
        <f>'사업자작성2(건축사업비산출)'!E33</f>
        <v>4369296.9980000006</v>
      </c>
      <c r="G17" s="128" t="s">
        <v>232</v>
      </c>
      <c r="H17" s="129"/>
      <c r="J17" s="180"/>
      <c r="K17" s="349" t="s">
        <v>405</v>
      </c>
    </row>
    <row r="18" spans="1:11">
      <c r="A18" s="128" t="s">
        <v>1</v>
      </c>
      <c r="B18" s="128"/>
      <c r="C18" s="245">
        <f>C16+C17</f>
        <v>130</v>
      </c>
      <c r="D18" s="146"/>
      <c r="E18" s="21" t="s">
        <v>348</v>
      </c>
      <c r="F18" s="130"/>
      <c r="G18" s="337" t="s">
        <v>326</v>
      </c>
      <c r="H18" s="129"/>
      <c r="J18" s="180"/>
      <c r="K18" s="349"/>
    </row>
    <row r="19" spans="1:11">
      <c r="D19" s="146"/>
      <c r="E19" s="141" t="s">
        <v>330</v>
      </c>
      <c r="F19" s="288">
        <f>'사업자작성2(건축사업비산출)'!E63</f>
        <v>121799.79000000001</v>
      </c>
      <c r="G19" s="128"/>
      <c r="H19" s="178"/>
      <c r="J19" s="180"/>
    </row>
    <row r="20" spans="1:11">
      <c r="D20" s="146"/>
      <c r="E20" s="141" t="s">
        <v>372</v>
      </c>
      <c r="F20" s="340">
        <f>F19/C18</f>
        <v>936.92146153846159</v>
      </c>
      <c r="G20" s="128" t="s">
        <v>373</v>
      </c>
      <c r="H20" s="178"/>
      <c r="I20" s="131"/>
      <c r="J20" s="180"/>
    </row>
    <row r="21" spans="1:11">
      <c r="D21" s="146"/>
      <c r="E21" s="140"/>
      <c r="F21" s="339"/>
      <c r="G21" s="129"/>
      <c r="H21" s="178"/>
      <c r="I21" s="131"/>
      <c r="J21" s="180"/>
    </row>
    <row r="22" spans="1:11">
      <c r="A22" s="129" t="s">
        <v>162</v>
      </c>
      <c r="B22" s="129" t="s">
        <v>163</v>
      </c>
      <c r="C22" s="129"/>
      <c r="D22" s="146"/>
      <c r="E22" s="140"/>
      <c r="F22" s="129" t="s">
        <v>164</v>
      </c>
      <c r="G22" s="129"/>
      <c r="H22" s="178"/>
      <c r="I22" s="178"/>
      <c r="J22" s="180"/>
    </row>
    <row r="23" spans="1:11">
      <c r="A23" s="128" t="s">
        <v>91</v>
      </c>
      <c r="B23" s="128"/>
      <c r="C23" s="145">
        <f>사업개요!C18</f>
        <v>1512411.0790956453</v>
      </c>
      <c r="D23" s="149"/>
      <c r="E23" s="328" t="s">
        <v>224</v>
      </c>
      <c r="F23" s="128" t="s">
        <v>33</v>
      </c>
      <c r="G23" s="127">
        <v>0.5</v>
      </c>
      <c r="H23" s="178" t="s">
        <v>347</v>
      </c>
      <c r="I23" s="147"/>
      <c r="J23" s="180"/>
    </row>
    <row r="24" spans="1:11">
      <c r="A24" s="148"/>
      <c r="B24" s="129"/>
      <c r="C24" s="129"/>
      <c r="D24" s="149"/>
      <c r="E24" s="146"/>
      <c r="F24" s="128" t="s">
        <v>35</v>
      </c>
      <c r="G24" s="124">
        <v>4.8000000000000001E-2</v>
      </c>
      <c r="H24" s="431" t="s">
        <v>409</v>
      </c>
      <c r="I24" s="147"/>
      <c r="J24" s="422"/>
    </row>
    <row r="25" spans="1:11">
      <c r="A25" s="129" t="s">
        <v>165</v>
      </c>
      <c r="B25" s="129"/>
      <c r="C25" s="151"/>
      <c r="D25" s="149"/>
      <c r="E25" s="146"/>
      <c r="F25" s="128" t="s">
        <v>122</v>
      </c>
      <c r="G25" s="124">
        <v>0.05</v>
      </c>
      <c r="H25" s="152" t="s">
        <v>223</v>
      </c>
      <c r="I25" s="147"/>
      <c r="J25" s="180"/>
    </row>
    <row r="26" spans="1:11">
      <c r="A26" s="128" t="s">
        <v>122</v>
      </c>
      <c r="B26" s="128"/>
      <c r="C26" s="124">
        <v>0.05</v>
      </c>
      <c r="D26" s="129"/>
      <c r="E26" s="152" t="s">
        <v>223</v>
      </c>
      <c r="F26" s="129" t="s">
        <v>225</v>
      </c>
      <c r="G26" s="150"/>
      <c r="H26" s="152"/>
      <c r="I26" s="147"/>
      <c r="J26" s="180"/>
    </row>
    <row r="27" spans="1:11">
      <c r="A27" s="140"/>
      <c r="B27" s="129"/>
      <c r="C27" s="130"/>
      <c r="D27" s="149"/>
      <c r="E27" s="129"/>
      <c r="F27" s="128" t="s">
        <v>226</v>
      </c>
      <c r="G27" s="127">
        <v>0.8</v>
      </c>
      <c r="H27" s="150"/>
      <c r="I27" s="139"/>
      <c r="J27" s="180"/>
    </row>
    <row r="28" spans="1:11">
      <c r="A28" s="129" t="s">
        <v>228</v>
      </c>
      <c r="B28" s="129"/>
      <c r="C28" s="151"/>
      <c r="D28" s="149"/>
      <c r="E28" s="146"/>
      <c r="F28" s="128" t="s">
        <v>227</v>
      </c>
      <c r="G28" s="127">
        <v>0.8</v>
      </c>
      <c r="H28" s="150"/>
      <c r="I28" s="129"/>
      <c r="J28" s="180"/>
    </row>
    <row r="29" spans="1:11">
      <c r="A29" s="128" t="s">
        <v>229</v>
      </c>
      <c r="B29" s="128"/>
      <c r="C29" s="124">
        <v>0.3</v>
      </c>
      <c r="D29" s="149"/>
      <c r="E29" s="152" t="s">
        <v>230</v>
      </c>
      <c r="F29" s="129"/>
      <c r="G29" s="182"/>
      <c r="H29" s="150"/>
      <c r="I29" s="153"/>
      <c r="J29" s="180"/>
    </row>
    <row r="30" spans="1:11">
      <c r="A30" s="129"/>
      <c r="B30" s="129"/>
      <c r="C30" s="150"/>
      <c r="D30" s="149"/>
      <c r="E30" s="152"/>
      <c r="F30" s="129"/>
      <c r="G30" s="182"/>
      <c r="H30" s="150"/>
      <c r="I30" s="139"/>
      <c r="J30" s="180"/>
    </row>
    <row r="31" spans="1:11">
      <c r="A31" s="129" t="s">
        <v>234</v>
      </c>
      <c r="B31" s="129"/>
      <c r="C31" s="151"/>
      <c r="D31" s="149"/>
      <c r="E31" s="146"/>
      <c r="F31" s="129"/>
      <c r="G31" s="182"/>
      <c r="H31" s="150"/>
      <c r="I31" s="139"/>
      <c r="J31" s="180"/>
    </row>
    <row r="32" spans="1:11">
      <c r="A32" s="128" t="s">
        <v>236</v>
      </c>
      <c r="B32" s="128"/>
      <c r="C32" s="213" t="b">
        <f ca="1">캐시플로우!R46&lt;0</f>
        <v>1</v>
      </c>
      <c r="D32" s="129"/>
      <c r="E32" s="152" t="s">
        <v>235</v>
      </c>
      <c r="F32" s="129"/>
      <c r="G32" s="182"/>
      <c r="H32" s="150"/>
      <c r="I32" s="139"/>
      <c r="J32" s="180"/>
    </row>
    <row r="33" spans="1:11">
      <c r="A33" s="140"/>
      <c r="B33" s="129"/>
      <c r="C33" s="130"/>
      <c r="D33" s="131"/>
      <c r="E33" s="129"/>
      <c r="F33" s="129"/>
      <c r="G33" s="182"/>
      <c r="H33" s="150"/>
      <c r="I33" s="139"/>
      <c r="J33" s="180"/>
      <c r="K33" s="152"/>
    </row>
    <row r="34" spans="1:11">
      <c r="A34" s="129" t="s">
        <v>233</v>
      </c>
      <c r="B34" s="129"/>
      <c r="C34" s="130"/>
      <c r="D34" s="149"/>
      <c r="E34" s="131"/>
      <c r="F34" s="129"/>
      <c r="G34" s="182"/>
      <c r="H34" s="151"/>
      <c r="I34" s="139"/>
      <c r="J34" s="180"/>
    </row>
    <row r="35" spans="1:11">
      <c r="A35" s="128" t="s">
        <v>27</v>
      </c>
      <c r="B35" s="128"/>
      <c r="C35" s="179">
        <f ca="1">캐시플로우!C71</f>
        <v>0.10733556847096182</v>
      </c>
      <c r="D35" s="149"/>
      <c r="E35" s="152" t="s">
        <v>242</v>
      </c>
      <c r="F35" s="129"/>
      <c r="G35" s="129"/>
      <c r="H35" s="154"/>
      <c r="I35" s="139"/>
      <c r="J35" s="180"/>
    </row>
    <row r="36" spans="1:11">
      <c r="A36" s="129"/>
      <c r="B36" s="129"/>
      <c r="C36" s="150"/>
      <c r="D36" s="149"/>
      <c r="E36" s="152" t="s">
        <v>243</v>
      </c>
      <c r="F36" s="129"/>
      <c r="G36" s="129"/>
      <c r="H36" s="154"/>
      <c r="I36" s="139"/>
      <c r="J36" s="180"/>
    </row>
    <row r="37" spans="1:11">
      <c r="A37" s="129"/>
      <c r="B37" s="129"/>
      <c r="C37" s="150"/>
      <c r="D37" s="149"/>
      <c r="E37" s="152" t="s">
        <v>244</v>
      </c>
      <c r="F37" s="129"/>
      <c r="G37" s="129"/>
      <c r="H37" s="154"/>
      <c r="I37" s="134"/>
      <c r="J37" s="180"/>
    </row>
    <row r="38" spans="1:11" ht="33" customHeight="1">
      <c r="A38" s="129"/>
      <c r="B38" s="129"/>
      <c r="C38" s="150"/>
      <c r="D38" s="149"/>
      <c r="E38" s="152"/>
      <c r="F38" s="129"/>
      <c r="G38" s="129"/>
      <c r="H38" s="154"/>
      <c r="I38" s="329"/>
      <c r="J38" s="180"/>
    </row>
    <row r="39" spans="1:11" ht="17.25" thickBot="1">
      <c r="A39" s="181"/>
      <c r="B39" s="181"/>
      <c r="C39" s="330"/>
      <c r="D39" s="331"/>
      <c r="E39" s="332"/>
      <c r="F39" s="181"/>
      <c r="G39" s="181"/>
      <c r="H39" s="333"/>
      <c r="I39" s="334"/>
    </row>
    <row r="40" spans="1:11" ht="17.25" thickTop="1">
      <c r="A40" s="88"/>
      <c r="B40" s="88"/>
      <c r="C40" s="88"/>
      <c r="D40" s="96"/>
      <c r="E40" s="19"/>
    </row>
    <row r="41" spans="1:11">
      <c r="A41" s="88"/>
      <c r="B41" s="88"/>
      <c r="C41" s="89"/>
      <c r="D41" s="96"/>
      <c r="E41" s="19"/>
    </row>
    <row r="42" spans="1:11">
      <c r="A42" s="88"/>
      <c r="B42" s="88"/>
      <c r="C42" s="89"/>
      <c r="D42" s="96"/>
      <c r="E42" s="19"/>
    </row>
    <row r="43" spans="1:11">
      <c r="A43" s="88"/>
      <c r="B43" s="88"/>
      <c r="C43" s="89"/>
      <c r="D43" s="96"/>
      <c r="E43" s="19"/>
    </row>
    <row r="44" spans="1:11">
      <c r="A44" s="88"/>
      <c r="B44" s="88"/>
      <c r="C44" s="90"/>
      <c r="D44" s="96"/>
    </row>
    <row r="45" spans="1:11">
      <c r="A45" s="88"/>
      <c r="B45" s="88"/>
      <c r="C45" s="95"/>
    </row>
    <row r="48" spans="1:11">
      <c r="C48" s="4"/>
    </row>
    <row r="49" spans="3:3">
      <c r="C49" s="86"/>
    </row>
  </sheetData>
  <mergeCells count="9">
    <mergeCell ref="K11:K12"/>
    <mergeCell ref="K13:L13"/>
    <mergeCell ref="K14:K15"/>
    <mergeCell ref="K16:L16"/>
    <mergeCell ref="A1:H1"/>
    <mergeCell ref="K2:K4"/>
    <mergeCell ref="K5:L5"/>
    <mergeCell ref="K6:K9"/>
    <mergeCell ref="K10:L10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72"/>
  <sheetViews>
    <sheetView showGridLines="0" zoomScaleNormal="100" workbookViewId="0">
      <selection activeCell="E16" sqref="E16"/>
    </sheetView>
  </sheetViews>
  <sheetFormatPr defaultColWidth="9" defaultRowHeight="16.5"/>
  <cols>
    <col min="1" max="1" width="3.875" style="7" customWidth="1"/>
    <col min="2" max="2" width="16.125" style="7" customWidth="1"/>
    <col min="3" max="3" width="12.375" style="7" bestFit="1" customWidth="1"/>
    <col min="4" max="4" width="13.5" style="1" bestFit="1" customWidth="1"/>
    <col min="5" max="5" width="11.5" style="1" bestFit="1" customWidth="1"/>
    <col min="6" max="31" width="11.5" style="1" customWidth="1"/>
    <col min="32" max="32" width="11.5" style="1" bestFit="1" customWidth="1"/>
    <col min="33" max="33" width="12.625" style="1" bestFit="1" customWidth="1"/>
    <col min="34" max="34" width="10.875" style="7" bestFit="1" customWidth="1"/>
    <col min="35" max="16384" width="9" style="7"/>
  </cols>
  <sheetData>
    <row r="1" spans="1:33">
      <c r="A1" s="77"/>
      <c r="B1" s="77"/>
      <c r="C1" s="77">
        <v>0</v>
      </c>
      <c r="D1" s="78">
        <v>1</v>
      </c>
      <c r="E1" s="78">
        <v>2</v>
      </c>
      <c r="F1" s="78">
        <v>3</v>
      </c>
      <c r="G1" s="78">
        <v>4</v>
      </c>
      <c r="H1" s="78">
        <v>5</v>
      </c>
      <c r="I1" s="78">
        <v>6</v>
      </c>
      <c r="J1" s="78">
        <v>7</v>
      </c>
      <c r="K1" s="78">
        <v>8</v>
      </c>
      <c r="L1" s="78">
        <v>9</v>
      </c>
      <c r="M1" s="78">
        <v>10</v>
      </c>
      <c r="N1" s="78">
        <v>11</v>
      </c>
      <c r="O1" s="78">
        <v>12</v>
      </c>
      <c r="P1" s="78">
        <v>13</v>
      </c>
      <c r="Q1" s="78">
        <v>14</v>
      </c>
      <c r="R1" s="78">
        <v>15</v>
      </c>
      <c r="S1" s="78">
        <v>16</v>
      </c>
      <c r="T1" s="78">
        <v>17</v>
      </c>
      <c r="U1" s="78">
        <v>18</v>
      </c>
      <c r="V1" s="78">
        <v>19</v>
      </c>
      <c r="W1" s="78">
        <v>20</v>
      </c>
      <c r="X1" s="78">
        <v>21</v>
      </c>
      <c r="Y1" s="78">
        <v>22</v>
      </c>
      <c r="Z1" s="78">
        <v>23</v>
      </c>
      <c r="AA1" s="78">
        <v>24</v>
      </c>
      <c r="AB1" s="78">
        <v>25</v>
      </c>
      <c r="AC1" s="78">
        <v>26</v>
      </c>
      <c r="AD1" s="78">
        <v>27</v>
      </c>
      <c r="AE1" s="78">
        <v>28</v>
      </c>
      <c r="AF1" s="78">
        <v>29</v>
      </c>
      <c r="AG1" s="78">
        <v>30</v>
      </c>
    </row>
    <row r="2" spans="1:33" s="117" customFormat="1">
      <c r="A2" s="117" t="s">
        <v>20</v>
      </c>
      <c r="D2" s="118">
        <f>(1+사업개요!$I$27)^C1</f>
        <v>1</v>
      </c>
      <c r="E2" s="118">
        <f>(1+사업개요!$I$27)^D1</f>
        <v>1.0149999999999999</v>
      </c>
      <c r="F2" s="118">
        <f>(1+사업개요!$I$27)^E1</f>
        <v>1.0302249999999997</v>
      </c>
      <c r="G2" s="118">
        <f>(1+사업개요!$I$27)^F1</f>
        <v>1.0456783749999996</v>
      </c>
      <c r="H2" s="118">
        <f>(1+사업개요!$I$27)^G1</f>
        <v>1.0613635506249994</v>
      </c>
      <c r="I2" s="118">
        <f>(1+사업개요!$I$27)^H1</f>
        <v>1.0772840038843743</v>
      </c>
      <c r="J2" s="118">
        <f>(1+사업개요!$I$27)^I1</f>
        <v>1.0934432639426397</v>
      </c>
      <c r="K2" s="118">
        <f>(1+사업개요!$I$27)^J1</f>
        <v>1.1098449129017791</v>
      </c>
      <c r="L2" s="118">
        <f>(1+사업개요!$I$27)^K1</f>
        <v>1.1264925865953057</v>
      </c>
      <c r="M2" s="118">
        <f>(1+사업개요!$I$27)^L1</f>
        <v>1.1433899753942351</v>
      </c>
      <c r="N2" s="118">
        <f>(1+사업개요!$I$27)^M1</f>
        <v>1.1605408250251485</v>
      </c>
      <c r="O2" s="118">
        <f>(1+사업개요!$I$27)^N1</f>
        <v>1.1779489374005256</v>
      </c>
      <c r="P2" s="118">
        <f>(1+사업개요!$I$27)^O1</f>
        <v>1.1956181714615333</v>
      </c>
      <c r="Q2" s="118">
        <f>(1+사업개요!$I$27)^P1</f>
        <v>1.2135524440334562</v>
      </c>
      <c r="R2" s="118">
        <f>(1+사업개요!$I$27)^Q1</f>
        <v>1.2317557306939577</v>
      </c>
      <c r="S2" s="118">
        <f>(1+사업개요!$I$27)^R1</f>
        <v>1.2502320666543669</v>
      </c>
      <c r="T2" s="118">
        <f>(1+사업개요!$I$27)^S1</f>
        <v>1.2689855476541823</v>
      </c>
      <c r="U2" s="118">
        <f>(1+사업개요!$I$27)^T1</f>
        <v>1.2880203308689948</v>
      </c>
      <c r="V2" s="118">
        <f>(1+사업개요!$I$27)^U1</f>
        <v>1.3073406358320296</v>
      </c>
      <c r="W2" s="118">
        <f>(1+사업개요!$I$27)^V1</f>
        <v>1.32695074536951</v>
      </c>
      <c r="X2" s="118">
        <f>(1+사업개요!$I$27)^W1</f>
        <v>1.3468550065500522</v>
      </c>
      <c r="Y2" s="118">
        <f>(1+사업개요!$I$27)^X1</f>
        <v>1.3670578316483029</v>
      </c>
      <c r="Z2" s="118">
        <f>(1+사업개요!$I$27)^Y1</f>
        <v>1.3875636991230271</v>
      </c>
      <c r="AA2" s="118">
        <f>(1+사업개요!$I$27)^Z1</f>
        <v>1.4083771546098725</v>
      </c>
      <c r="AB2" s="118">
        <f>(1+사업개요!$I$27)^AA1</f>
        <v>1.4295028119290203</v>
      </c>
      <c r="AC2" s="118">
        <f>(1+사업개요!$I$27)^AB1</f>
        <v>1.4509453541079556</v>
      </c>
      <c r="AD2" s="118">
        <f>(1+사업개요!$I$27)^AC1</f>
        <v>1.4727095344195746</v>
      </c>
      <c r="AE2" s="118">
        <f>(1+사업개요!$I$27)^AD1</f>
        <v>1.4948001774358681</v>
      </c>
      <c r="AF2" s="118">
        <f>(1+사업개요!$I$27)^AE1</f>
        <v>1.5172221800974057</v>
      </c>
      <c r="AG2" s="118">
        <f>(1+사업개요!$I$27)^AF1</f>
        <v>1.5399805127988668</v>
      </c>
    </row>
    <row r="3" spans="1:33" s="117" customFormat="1">
      <c r="A3" s="360" t="s">
        <v>19</v>
      </c>
      <c r="D3" s="361">
        <v>8.9999999999999998E-4</v>
      </c>
      <c r="E3" s="119">
        <f>D3</f>
        <v>8.9999999999999998E-4</v>
      </c>
      <c r="F3" s="119">
        <f>E3</f>
        <v>8.9999999999999998E-4</v>
      </c>
      <c r="G3" s="119">
        <f>F3</f>
        <v>8.9999999999999998E-4</v>
      </c>
      <c r="H3" s="119">
        <f>G3</f>
        <v>8.9999999999999998E-4</v>
      </c>
      <c r="I3" s="119">
        <v>3.5000000000000001E-3</v>
      </c>
      <c r="J3" s="119">
        <v>3.5000000000000001E-3</v>
      </c>
      <c r="K3" s="119">
        <v>3.5000000000000001E-3</v>
      </c>
      <c r="L3" s="119">
        <v>3.5000000000000001E-3</v>
      </c>
      <c r="M3" s="119">
        <v>3.5000000000000001E-3</v>
      </c>
      <c r="N3" s="119">
        <v>8.5000000000000006E-3</v>
      </c>
      <c r="O3" s="119">
        <v>8.5000000000000006E-3</v>
      </c>
      <c r="P3" s="119">
        <v>8.5000000000000006E-3</v>
      </c>
      <c r="Q3" s="119">
        <v>8.5000000000000006E-3</v>
      </c>
      <c r="R3" s="119">
        <v>8.5000000000000006E-3</v>
      </c>
      <c r="S3" s="119">
        <v>1.1599999999999999E-2</v>
      </c>
      <c r="T3" s="119">
        <v>1.1599999999999999E-2</v>
      </c>
      <c r="U3" s="119">
        <v>1.1599999999999999E-2</v>
      </c>
      <c r="V3" s="119">
        <v>1.1599999999999999E-2</v>
      </c>
      <c r="W3" s="119">
        <v>1.1599999999999999E-2</v>
      </c>
      <c r="X3" s="119">
        <v>1.4E-2</v>
      </c>
      <c r="Y3" s="119">
        <v>1.4E-2</v>
      </c>
      <c r="Z3" s="119">
        <v>1.4E-2</v>
      </c>
      <c r="AA3" s="119">
        <v>1.4E-2</v>
      </c>
      <c r="AB3" s="119">
        <v>1.4E-2</v>
      </c>
      <c r="AC3" s="119">
        <v>1.78E-2</v>
      </c>
      <c r="AD3" s="119">
        <v>1.78E-2</v>
      </c>
      <c r="AE3" s="119">
        <v>1.78E-2</v>
      </c>
      <c r="AF3" s="119">
        <v>1.78E-2</v>
      </c>
      <c r="AG3" s="119">
        <v>1.78E-2</v>
      </c>
    </row>
    <row r="4" spans="1:33" s="117" customFormat="1">
      <c r="A4" s="117" t="s">
        <v>18</v>
      </c>
      <c r="D4" s="120">
        <f>ROUNDDOWN(C1/사업개요!$J$26,0)</f>
        <v>0</v>
      </c>
      <c r="E4" s="120">
        <f>ROUNDDOWN(D1/사업개요!$J$26,0)</f>
        <v>0</v>
      </c>
      <c r="F4" s="120">
        <f>ROUNDDOWN(E1/사업개요!$J$26,0)</f>
        <v>1</v>
      </c>
      <c r="G4" s="120">
        <f>ROUNDDOWN(F1/사업개요!$J$26,0)</f>
        <v>1</v>
      </c>
      <c r="H4" s="120">
        <f>ROUNDDOWN(G1/사업개요!$J$26,0)</f>
        <v>2</v>
      </c>
      <c r="I4" s="120">
        <f>ROUNDDOWN(H1/사업개요!$J$26,0)</f>
        <v>2</v>
      </c>
      <c r="J4" s="120">
        <f>ROUNDDOWN(I1/사업개요!$J$26,0)</f>
        <v>3</v>
      </c>
      <c r="K4" s="120">
        <f>ROUNDDOWN(J1/사업개요!$J$26,0)</f>
        <v>3</v>
      </c>
      <c r="L4" s="120">
        <f>ROUNDDOWN(K1/사업개요!$J$26,0)</f>
        <v>4</v>
      </c>
      <c r="M4" s="120">
        <f>ROUNDDOWN(L1/사업개요!$J$26,0)</f>
        <v>4</v>
      </c>
      <c r="N4" s="120">
        <f>ROUNDDOWN(M1/사업개요!$J$26,0)</f>
        <v>5</v>
      </c>
      <c r="O4" s="120">
        <f>ROUNDDOWN(N1/사업개요!$J$26,0)</f>
        <v>5</v>
      </c>
      <c r="P4" s="120">
        <f>ROUNDDOWN(O1/사업개요!$J$26,0)</f>
        <v>6</v>
      </c>
      <c r="Q4" s="120">
        <f>ROUNDDOWN(P1/사업개요!$J$26,0)</f>
        <v>6</v>
      </c>
      <c r="R4" s="120">
        <f>ROUNDDOWN(Q1/사업개요!$J$26,0)</f>
        <v>7</v>
      </c>
      <c r="S4" s="120">
        <f>ROUNDDOWN(R1/사업개요!$J$26,0)</f>
        <v>7</v>
      </c>
      <c r="T4" s="120">
        <f>ROUNDDOWN(S1/사업개요!$J$26,0)</f>
        <v>8</v>
      </c>
      <c r="U4" s="120">
        <f>ROUNDDOWN(T1/사업개요!$J$26,0)</f>
        <v>8</v>
      </c>
      <c r="V4" s="120">
        <f>ROUNDDOWN(U1/사업개요!$J$26,0)</f>
        <v>9</v>
      </c>
      <c r="W4" s="120">
        <f>ROUNDDOWN(V1/사업개요!$J$26,0)</f>
        <v>9</v>
      </c>
      <c r="X4" s="120">
        <f>ROUNDDOWN(W1/사업개요!$J$26,0)</f>
        <v>10</v>
      </c>
      <c r="Y4" s="120">
        <f>ROUNDDOWN(X1/사업개요!$J$26,0)</f>
        <v>10</v>
      </c>
      <c r="Z4" s="120">
        <f>ROUNDDOWN(Y1/사업개요!$J$26,0)</f>
        <v>11</v>
      </c>
      <c r="AA4" s="120">
        <f>ROUNDDOWN(Z1/사업개요!$J$26,0)</f>
        <v>11</v>
      </c>
      <c r="AB4" s="120">
        <f>ROUNDDOWN(AA1/사업개요!$J$26,0)</f>
        <v>12</v>
      </c>
      <c r="AC4" s="120">
        <f>ROUNDDOWN(AB1/사업개요!$J$26,0)</f>
        <v>12</v>
      </c>
      <c r="AD4" s="120">
        <f>ROUNDDOWN(AC1/사업개요!$J$26,0)</f>
        <v>13</v>
      </c>
      <c r="AE4" s="120">
        <f>ROUNDDOWN(AD1/사업개요!$J$26,0)</f>
        <v>13</v>
      </c>
      <c r="AF4" s="120">
        <f>ROUNDDOWN(AE1/사업개요!$J$26,0)</f>
        <v>14</v>
      </c>
      <c r="AG4" s="120">
        <f>ROUNDDOWN(AF1/사업개요!$J$26,0)</f>
        <v>14</v>
      </c>
    </row>
    <row r="5" spans="1:33" s="117" customFormat="1">
      <c r="A5" s="360" t="s">
        <v>146</v>
      </c>
      <c r="D5" s="297">
        <f>'사업자작성3(전체사업비산출)'!C29</f>
        <v>0.3</v>
      </c>
      <c r="E5" s="120"/>
      <c r="F5" s="121">
        <f>MIN(3%,100%-$D$5)</f>
        <v>0.03</v>
      </c>
      <c r="G5" s="120"/>
      <c r="H5" s="121">
        <f>MIN(3%,100%-$D$5)</f>
        <v>0.03</v>
      </c>
      <c r="I5" s="120"/>
      <c r="J5" s="121">
        <f>MIN(3%,100%-$D$5)</f>
        <v>0.03</v>
      </c>
      <c r="K5" s="120"/>
      <c r="L5" s="121">
        <f>MIN(3%,100%-$D$5)</f>
        <v>0.03</v>
      </c>
      <c r="M5" s="120"/>
      <c r="N5" s="121">
        <f>MIN(3%,100%-$D$5)</f>
        <v>0.03</v>
      </c>
      <c r="O5" s="120"/>
      <c r="P5" s="121">
        <f>MIN(3%,100%-$D$5)</f>
        <v>0.03</v>
      </c>
      <c r="Q5" s="120"/>
      <c r="R5" s="121">
        <f>1-SUM(D5:Q5)</f>
        <v>0.51999999999999991</v>
      </c>
      <c r="S5" s="341"/>
      <c r="T5" s="342"/>
      <c r="U5" s="341"/>
      <c r="V5" s="342"/>
      <c r="W5" s="341"/>
      <c r="X5" s="342"/>
      <c r="Y5" s="341"/>
      <c r="Z5" s="342"/>
      <c r="AA5" s="341"/>
      <c r="AB5" s="342"/>
      <c r="AC5" s="341"/>
      <c r="AD5" s="342"/>
      <c r="AE5" s="341"/>
      <c r="AF5" s="342"/>
      <c r="AG5" s="342"/>
    </row>
    <row r="6" spans="1:33" s="117" customFormat="1">
      <c r="A6" s="117" t="s">
        <v>147</v>
      </c>
      <c r="D6" s="120">
        <f t="shared" ref="D6:R6" si="0">C56*2%</f>
        <v>57984.718378087106</v>
      </c>
      <c r="E6" s="120">
        <f t="shared" si="0"/>
        <v>40589.302864660975</v>
      </c>
      <c r="F6" s="120">
        <f t="shared" si="0"/>
        <v>40589.302864660975</v>
      </c>
      <c r="G6" s="120">
        <f t="shared" si="0"/>
        <v>38849.761313318362</v>
      </c>
      <c r="H6" s="120">
        <f t="shared" si="0"/>
        <v>38849.761313318362</v>
      </c>
      <c r="I6" s="120">
        <f t="shared" si="0"/>
        <v>37110.21976197575</v>
      </c>
      <c r="J6" s="120">
        <f t="shared" si="0"/>
        <v>37110.21976197575</v>
      </c>
      <c r="K6" s="120">
        <f t="shared" si="0"/>
        <v>35370.678210633145</v>
      </c>
      <c r="L6" s="120">
        <f t="shared" si="0"/>
        <v>35370.678210633145</v>
      </c>
      <c r="M6" s="120">
        <f t="shared" si="0"/>
        <v>33631.136659290532</v>
      </c>
      <c r="N6" s="120">
        <f t="shared" si="0"/>
        <v>33631.136659290532</v>
      </c>
      <c r="O6" s="120">
        <f t="shared" si="0"/>
        <v>31891.59510794792</v>
      </c>
      <c r="P6" s="120">
        <f t="shared" si="0"/>
        <v>31891.59510794792</v>
      </c>
      <c r="Q6" s="120">
        <f t="shared" si="0"/>
        <v>30152.053556605308</v>
      </c>
      <c r="R6" s="120">
        <f t="shared" si="0"/>
        <v>30152.053556605308</v>
      </c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</row>
    <row r="7" spans="1:33" s="117" customFormat="1">
      <c r="A7" s="117" t="s">
        <v>148</v>
      </c>
      <c r="D7" s="120">
        <f>C56*1.8%</f>
        <v>52186.2465402784</v>
      </c>
      <c r="E7" s="120">
        <f t="shared" ref="E7:R7" si="1">D56*1.8%</f>
        <v>36530.372578194881</v>
      </c>
      <c r="F7" s="120">
        <f t="shared" si="1"/>
        <v>36530.372578194881</v>
      </c>
      <c r="G7" s="120">
        <f t="shared" si="1"/>
        <v>34964.785181986532</v>
      </c>
      <c r="H7" s="120">
        <f t="shared" si="1"/>
        <v>34964.785181986532</v>
      </c>
      <c r="I7" s="120">
        <f t="shared" si="1"/>
        <v>33399.197785778182</v>
      </c>
      <c r="J7" s="120">
        <f t="shared" si="1"/>
        <v>33399.197785778182</v>
      </c>
      <c r="K7" s="120">
        <f t="shared" si="1"/>
        <v>31833.610389569829</v>
      </c>
      <c r="L7" s="120">
        <f t="shared" si="1"/>
        <v>31833.610389569829</v>
      </c>
      <c r="M7" s="120">
        <f t="shared" si="1"/>
        <v>30268.022993361479</v>
      </c>
      <c r="N7" s="120">
        <f t="shared" si="1"/>
        <v>30268.022993361479</v>
      </c>
      <c r="O7" s="120">
        <f t="shared" si="1"/>
        <v>28702.435597153129</v>
      </c>
      <c r="P7" s="120">
        <f t="shared" si="1"/>
        <v>28702.435597153129</v>
      </c>
      <c r="Q7" s="120">
        <f t="shared" si="1"/>
        <v>27136.84820094478</v>
      </c>
      <c r="R7" s="120">
        <f t="shared" si="1"/>
        <v>27136.84820094478</v>
      </c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</row>
    <row r="8" spans="1:33" s="117" customFormat="1">
      <c r="A8" s="117" t="s">
        <v>150</v>
      </c>
      <c r="D8" s="120">
        <f>D18</f>
        <v>104082.56948866636</v>
      </c>
      <c r="E8" s="120">
        <f t="shared" ref="E8:Q8" si="2">E18</f>
        <v>72857.798642066453</v>
      </c>
      <c r="F8" s="120">
        <f t="shared" si="2"/>
        <v>72857.798642066453</v>
      </c>
      <c r="G8" s="120">
        <f t="shared" si="2"/>
        <v>69735.321557406467</v>
      </c>
      <c r="H8" s="120">
        <f t="shared" si="2"/>
        <v>69735.321557406467</v>
      </c>
      <c r="I8" s="120">
        <f t="shared" si="2"/>
        <v>66612.844472746481</v>
      </c>
      <c r="J8" s="120">
        <f t="shared" si="2"/>
        <v>66612.844472746481</v>
      </c>
      <c r="K8" s="120">
        <f t="shared" si="2"/>
        <v>63490.367388086488</v>
      </c>
      <c r="L8" s="120">
        <f t="shared" si="2"/>
        <v>63490.367388086488</v>
      </c>
      <c r="M8" s="120">
        <f t="shared" si="2"/>
        <v>60367.890303426502</v>
      </c>
      <c r="N8" s="120">
        <f t="shared" si="2"/>
        <v>60367.890303426502</v>
      </c>
      <c r="O8" s="120">
        <f t="shared" si="2"/>
        <v>57245.413218766516</v>
      </c>
      <c r="P8" s="120">
        <f t="shared" si="2"/>
        <v>57245.413218766516</v>
      </c>
      <c r="Q8" s="120">
        <f t="shared" si="2"/>
        <v>54122.936134106531</v>
      </c>
      <c r="R8" s="120">
        <f t="shared" ref="R8" si="3">R18</f>
        <v>54122.936134106531</v>
      </c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</row>
    <row r="9" spans="1:33"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</row>
    <row r="10" spans="1:33" s="240" customFormat="1">
      <c r="A10" s="363" t="s">
        <v>131</v>
      </c>
      <c r="B10" s="363"/>
      <c r="C10" s="363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</row>
    <row r="11" spans="1:33" s="240" customFormat="1">
      <c r="B11" s="240" t="s">
        <v>10</v>
      </c>
      <c r="C11" s="365"/>
      <c r="D11" s="366">
        <f>사업개요!$I$24*(1+사업개요!$I$26)^D4*(1-사업개요!$I$25)</f>
        <v>99738.599999999991</v>
      </c>
      <c r="E11" s="366">
        <f>사업개요!$I$24*(1+사업개요!$I$26)^E4*(1-사업개요!$I$25)</f>
        <v>99738.599999999991</v>
      </c>
      <c r="F11" s="366">
        <f>사업개요!$I$24*(1+사업개요!$I$26)^F4*(1-사업개요!$I$25)</f>
        <v>104725.53</v>
      </c>
      <c r="G11" s="366">
        <f>사업개요!$I$24*(1+사업개요!$I$26)^G4*(1-사업개요!$I$25)</f>
        <v>104725.53</v>
      </c>
      <c r="H11" s="366">
        <f>사업개요!$I$24*(1+사업개요!$I$26)^H4*(1-사업개요!$I$25)</f>
        <v>109961.80649999999</v>
      </c>
      <c r="I11" s="366">
        <f>사업개요!$I$24*(1+사업개요!$I$26)^I4*(1-사업개요!$I$25)</f>
        <v>109961.80649999999</v>
      </c>
      <c r="J11" s="366">
        <f>사업개요!$I$24*(1+사업개요!$I$26)^J4*(1-사업개요!$I$25)</f>
        <v>115459.896825</v>
      </c>
      <c r="K11" s="366">
        <f>사업개요!$I$24*(1+사업개요!$I$26)^K4*(1-사업개요!$I$25)</f>
        <v>115459.896825</v>
      </c>
      <c r="L11" s="366">
        <f>사업개요!$I$24*(1+사업개요!$I$26)^L4*(1-사업개요!$I$25)</f>
        <v>121232.89166625</v>
      </c>
      <c r="M11" s="366">
        <f>사업개요!$I$24*(1+사업개요!$I$26)^M4*(1-사업개요!$I$25)</f>
        <v>121232.89166625</v>
      </c>
      <c r="N11" s="366">
        <f>사업개요!$I$24*(1+사업개요!$I$26)^N4*(1-사업개요!$I$25)</f>
        <v>127294.53624956252</v>
      </c>
      <c r="O11" s="366">
        <f>사업개요!$I$24*(1+사업개요!$I$26)^O4*(1-사업개요!$I$25)</f>
        <v>127294.53624956252</v>
      </c>
      <c r="P11" s="366">
        <f>사업개요!$I$24*(1+사업개요!$I$26)^P4*(1-사업개요!$I$25)</f>
        <v>133659.26306204061</v>
      </c>
      <c r="Q11" s="366">
        <f>사업개요!$I$24*(1+사업개요!$I$26)^Q4*(1-사업개요!$I$25)</f>
        <v>133659.26306204061</v>
      </c>
      <c r="R11" s="366">
        <f>사업개요!$I$24*(1+사업개요!$I$26)^R4*(1-사업개요!$I$25)</f>
        <v>140342.22621514267</v>
      </c>
      <c r="S11" s="366">
        <f>사업개요!$I$24*(1+사업개요!$I$26)^S4*(1-사업개요!$I$25)</f>
        <v>140342.22621514267</v>
      </c>
      <c r="T11" s="366">
        <f>사업개요!$I$24*(1+사업개요!$I$26)^T4*(1-사업개요!$I$25)</f>
        <v>147359.33752589978</v>
      </c>
      <c r="U11" s="366">
        <f>사업개요!$I$24*(1+사업개요!$I$26)^U4*(1-사업개요!$I$25)</f>
        <v>147359.33752589978</v>
      </c>
      <c r="V11" s="366">
        <f>사업개요!$I$24*(1+사업개요!$I$26)^V4*(1-사업개요!$I$25)</f>
        <v>154727.3044021948</v>
      </c>
      <c r="W11" s="366">
        <f>사업개요!$I$24*(1+사업개요!$I$26)^W4*(1-사업개요!$I$25)</f>
        <v>154727.3044021948</v>
      </c>
      <c r="X11" s="366">
        <f>사업개요!$I$24*(1+사업개요!$I$26)^X4*(1-사업개요!$I$25)</f>
        <v>162463.66962230453</v>
      </c>
      <c r="Y11" s="366">
        <f>사업개요!$I$24*(1+사업개요!$I$26)^Y4*(1-사업개요!$I$25)</f>
        <v>162463.66962230453</v>
      </c>
      <c r="Z11" s="366">
        <f>사업개요!$I$24*(1+사업개요!$I$26)^Z4*(1-사업개요!$I$25)</f>
        <v>170586.85310341977</v>
      </c>
      <c r="AA11" s="366">
        <f>사업개요!$I$24*(1+사업개요!$I$26)^AA4*(1-사업개요!$I$25)</f>
        <v>170586.85310341977</v>
      </c>
      <c r="AB11" s="366">
        <f>사업개요!$I$24*(1+사업개요!$I$26)^AB4*(1-사업개요!$I$25)</f>
        <v>179116.19575859074</v>
      </c>
      <c r="AC11" s="366">
        <f>사업개요!$I$24*(1+사업개요!$I$26)^AC4*(1-사업개요!$I$25)</f>
        <v>179116.19575859074</v>
      </c>
      <c r="AD11" s="366">
        <f>사업개요!$I$24*(1+사업개요!$I$26)^AD4*(1-사업개요!$I$25)</f>
        <v>188072.00554652032</v>
      </c>
      <c r="AE11" s="366">
        <f>사업개요!$I$24*(1+사업개요!$I$26)^AE4*(1-사업개요!$I$25)</f>
        <v>188072.00554652032</v>
      </c>
      <c r="AF11" s="366">
        <f>사업개요!$I$24*(1+사업개요!$I$26)^AF4*(1-사업개요!$I$25)</f>
        <v>197475.60582384627</v>
      </c>
      <c r="AG11" s="366">
        <f>사업개요!$I$24*(1+사업개요!$I$26)^AG4*(1-사업개요!$I$25)</f>
        <v>197475.60582384627</v>
      </c>
    </row>
    <row r="12" spans="1:33" s="240" customFormat="1">
      <c r="B12" s="240" t="s">
        <v>11</v>
      </c>
      <c r="C12" s="365"/>
      <c r="D12" s="366">
        <f>사업개요!$O$21*(1+사업개요!$O$22)^D4</f>
        <v>33311.520000000004</v>
      </c>
      <c r="E12" s="366">
        <f>사업개요!$O$21*(1+사업개요!$O$22)^E4</f>
        <v>33311.520000000004</v>
      </c>
      <c r="F12" s="366">
        <f>사업개요!$O$21*(1+사업개요!$O$22)^F4</f>
        <v>34977.096000000005</v>
      </c>
      <c r="G12" s="366">
        <f>사업개요!$O$21*(1+사업개요!$O$22)^G4</f>
        <v>34977.096000000005</v>
      </c>
      <c r="H12" s="366">
        <f>사업개요!$O$21*(1+사업개요!$O$22)^H4</f>
        <v>36725.950800000006</v>
      </c>
      <c r="I12" s="366">
        <f>사업개요!$O$21*(1+사업개요!$O$22)^I4</f>
        <v>36725.950800000006</v>
      </c>
      <c r="J12" s="366">
        <f>사업개요!$O$21*(1+사업개요!$O$22)^J4</f>
        <v>38562.248340000006</v>
      </c>
      <c r="K12" s="366">
        <f>사업개요!$O$21*(1+사업개요!$O$22)^K4</f>
        <v>38562.248340000006</v>
      </c>
      <c r="L12" s="366">
        <f>사업개요!$O$21*(1+사업개요!$O$22)^L4</f>
        <v>40490.360757000002</v>
      </c>
      <c r="M12" s="366">
        <f>사업개요!$O$21*(1+사업개요!$O$22)^M4</f>
        <v>40490.360757000002</v>
      </c>
      <c r="N12" s="366">
        <f>사업개요!$O$21*(1+사업개요!$O$22)^N4</f>
        <v>42514.87879485001</v>
      </c>
      <c r="O12" s="366">
        <f>사업개요!$O$21*(1+사업개요!$O$22)^O4</f>
        <v>42514.87879485001</v>
      </c>
      <c r="P12" s="366">
        <f>사업개요!$O$21*(1+사업개요!$O$22)^P4</f>
        <v>44640.622734592507</v>
      </c>
      <c r="Q12" s="366">
        <f>사업개요!$O$21*(1+사업개요!$O$22)^Q4</f>
        <v>44640.622734592507</v>
      </c>
      <c r="R12" s="366">
        <f>사업개요!$O$21*(1+사업개요!$O$22)^R4</f>
        <v>46872.653871322138</v>
      </c>
      <c r="S12" s="366">
        <f>사업개요!$O$21*(1+사업개요!$O$22)^S4</f>
        <v>46872.653871322138</v>
      </c>
      <c r="T12" s="366">
        <f>사업개요!$O$21*(1+사업개요!$O$22)^T4</f>
        <v>49216.286564888236</v>
      </c>
      <c r="U12" s="366">
        <f>사업개요!$O$21*(1+사업개요!$O$22)^U4</f>
        <v>49216.286564888236</v>
      </c>
      <c r="V12" s="366">
        <f>사업개요!$O$21*(1+사업개요!$O$22)^V4</f>
        <v>51677.100893132658</v>
      </c>
      <c r="W12" s="366">
        <f>사업개요!$O$21*(1+사업개요!$O$22)^W4</f>
        <v>51677.100893132658</v>
      </c>
      <c r="X12" s="366">
        <f>사업개요!$O$21*(1+사업개요!$O$22)^X4</f>
        <v>54260.955937789287</v>
      </c>
      <c r="Y12" s="366">
        <f>사업개요!$O$21*(1+사업개요!$O$22)^Y4</f>
        <v>54260.955937789287</v>
      </c>
      <c r="Z12" s="366">
        <f>사업개요!$O$21*(1+사업개요!$O$22)^Z4</f>
        <v>56974.003734678758</v>
      </c>
      <c r="AA12" s="366">
        <f>사업개요!$O$21*(1+사업개요!$O$22)^AA4</f>
        <v>56974.003734678758</v>
      </c>
      <c r="AB12" s="366">
        <f>사업개요!$O$21*(1+사업개요!$O$22)^AB4</f>
        <v>59822.703921412685</v>
      </c>
      <c r="AC12" s="366">
        <f>사업개요!$O$21*(1+사업개요!$O$22)^AC4</f>
        <v>59822.703921412685</v>
      </c>
      <c r="AD12" s="366">
        <f>사업개요!$O$21*(1+사업개요!$O$22)^AD4</f>
        <v>62813.83911748333</v>
      </c>
      <c r="AE12" s="366">
        <f>사업개요!$O$21*(1+사업개요!$O$22)^AE4</f>
        <v>62813.83911748333</v>
      </c>
      <c r="AF12" s="366">
        <f>사업개요!$O$21*(1+사업개요!$O$22)^AF4</f>
        <v>65954.531073357488</v>
      </c>
      <c r="AG12" s="366">
        <f>사업개요!$O$21*(1+사업개요!$O$22)^AG4</f>
        <v>65954.531073357488</v>
      </c>
    </row>
    <row r="13" spans="1:33" s="240" customFormat="1">
      <c r="B13" s="240" t="s">
        <v>12</v>
      </c>
      <c r="C13" s="365"/>
      <c r="D13" s="366">
        <v>0</v>
      </c>
      <c r="E13" s="366">
        <f ca="1">IFERROR((D49+E39)/2*사업개요!$I$28,0)</f>
        <v>1977.1113299220651</v>
      </c>
      <c r="F13" s="366">
        <f ca="1">IFERROR((E49+F39)/2*사업개요!$I$28,0)</f>
        <v>2836.9076111999289</v>
      </c>
      <c r="G13" s="366">
        <f ca="1">IFERROR((F49+G39)/2*사업개요!$I$28,0)</f>
        <v>2116.8502320809221</v>
      </c>
      <c r="H13" s="366">
        <f ca="1">IFERROR((G49+H39)/2*사업개요!$I$28,0)</f>
        <v>3019.7483802127804</v>
      </c>
      <c r="I13" s="366">
        <f ca="1">IFERROR((H49+I39)/2*사업개요!$I$28,0)</f>
        <v>2214.7484789134251</v>
      </c>
      <c r="J13" s="366">
        <f ca="1">IFERROR((I49+J39)/2*사업개요!$I$28,0)</f>
        <v>3162.9053279022291</v>
      </c>
      <c r="K13" s="366">
        <f ca="1">IFERROR((J49+K39)/2*사업개요!$I$28,0)</f>
        <v>2367.8455266570027</v>
      </c>
      <c r="L13" s="366">
        <f ca="1">IFERROR((K49+L39)/2*사업개요!$I$28,0)</f>
        <v>3363.5257757837344</v>
      </c>
      <c r="M13" s="366">
        <f ca="1">IFERROR((L49+M39)/2*사업개요!$I$28,0)</f>
        <v>2528.1296668538544</v>
      </c>
      <c r="N13" s="366">
        <f ca="1">IFERROR((M49+N39)/2*사업개요!$I$28,0)</f>
        <v>3480.7192345362118</v>
      </c>
      <c r="O13" s="366">
        <f ca="1">IFERROR((N49+O39)/2*사업개요!$I$28,0)</f>
        <v>2602.9702508098089</v>
      </c>
      <c r="P13" s="366">
        <f ca="1">IFERROR((O49+P39)/2*사업개요!$I$28,0)</f>
        <v>3700.9500971445627</v>
      </c>
      <c r="Q13" s="366">
        <f ca="1">IFERROR((P49+Q39)/2*사업개요!$I$28,0)</f>
        <v>2778.7308506582067</v>
      </c>
      <c r="R13" s="366">
        <f ca="1">IFERROR((Q49+R39)/2*사업개요!$I$28,0)</f>
        <v>3942.46589120202</v>
      </c>
      <c r="S13" s="366">
        <f ca="1">IFERROR((R49+S39)/2*사업개요!$I$28,0)</f>
        <v>3109.1317765017984</v>
      </c>
      <c r="T13" s="366">
        <f ca="1">IFERROR((S49+T39)/2*사업개요!$I$28,0)</f>
        <v>4319.2472036221998</v>
      </c>
      <c r="U13" s="366">
        <f ca="1">IFERROR((T49+U39)/2*사업개요!$I$28,0)</f>
        <v>3289.4758929707905</v>
      </c>
      <c r="V13" s="366">
        <f ca="1">IFERROR((U49+V39)/2*사업개요!$I$28,0)</f>
        <v>4560.2547009324171</v>
      </c>
      <c r="W13" s="366">
        <f ca="1">IFERROR((V49+W39)/2*사업개요!$I$28,0)</f>
        <v>3479.0043575925538</v>
      </c>
      <c r="X13" s="366">
        <f ca="1">IFERROR((W49+X39)/2*사업개요!$I$28,0)</f>
        <v>4768.8454505990494</v>
      </c>
      <c r="Y13" s="366">
        <f ca="1">IFERROR((X49+Y39)/2*사업개요!$I$28,0)</f>
        <v>3633.5424110665222</v>
      </c>
      <c r="Z13" s="366">
        <f ca="1">IFERROR((Y49+Z39)/2*사업개요!$I$28,0)</f>
        <v>5034.905011311057</v>
      </c>
      <c r="AA13" s="366">
        <f ca="1">IFERROR((Z49+AA39)/2*사업개요!$I$28,0)</f>
        <v>3842.8469376151811</v>
      </c>
      <c r="AB13" s="366">
        <f ca="1">IFERROR((AA49+AB39)/2*사업개요!$I$28,0)</f>
        <v>5314.4411001513954</v>
      </c>
      <c r="AC13" s="366">
        <f ca="1">IFERROR((AB49+AC39)/2*사업개요!$I$28,0)</f>
        <v>3992.1165961480583</v>
      </c>
      <c r="AD13" s="366">
        <f ca="1">IFERROR((AC49+AD39)/2*사업개요!$I$28,0)</f>
        <v>5537.455894278296</v>
      </c>
      <c r="AE13" s="366">
        <f ca="1">IFERROR((AD49+AE39)/2*사업개요!$I$28,0)</f>
        <v>4223.2335515122113</v>
      </c>
      <c r="AF13" s="366">
        <f ca="1">IFERROR((AE49+AF39)/2*사업개요!$I$28,0)</f>
        <v>5846.0072651183982</v>
      </c>
      <c r="AG13" s="366">
        <f ca="1">IFERROR((AF49+AG39)/2*사업개요!$I$28,0)</f>
        <v>37483.442535975082</v>
      </c>
    </row>
    <row r="14" spans="1:33" s="240" customFormat="1">
      <c r="B14" s="240" t="s">
        <v>316</v>
      </c>
      <c r="D14" s="366">
        <f>사업개요!$I$31*D2</f>
        <v>20880</v>
      </c>
      <c r="E14" s="366">
        <f>사업개요!$I$31*E2</f>
        <v>21193.199999999997</v>
      </c>
      <c r="F14" s="366">
        <f>사업개요!$I$31*F2</f>
        <v>21511.097999999994</v>
      </c>
      <c r="G14" s="366">
        <f>사업개요!$I$31*G2</f>
        <v>21833.764469999991</v>
      </c>
      <c r="H14" s="366">
        <f>사업개요!$I$31*H2</f>
        <v>22161.270937049987</v>
      </c>
      <c r="I14" s="366">
        <f>사업개요!$I$31*I2</f>
        <v>22493.690001105737</v>
      </c>
      <c r="J14" s="366">
        <f>사업개요!$I$31*J2</f>
        <v>22831.095351122316</v>
      </c>
      <c r="K14" s="366">
        <f>사업개요!$I$31*K2</f>
        <v>23173.561781389148</v>
      </c>
      <c r="L14" s="366">
        <f>사업개요!$I$31*L2</f>
        <v>23521.165208109982</v>
      </c>
      <c r="M14" s="366">
        <f>사업개요!$I$31*M2</f>
        <v>23873.982686231629</v>
      </c>
      <c r="N14" s="366">
        <f>사업개요!$I$31*N2</f>
        <v>24232.092426525101</v>
      </c>
      <c r="O14" s="366">
        <f>사업개요!$I$31*O2</f>
        <v>24595.573812922976</v>
      </c>
      <c r="P14" s="366">
        <f>사업개요!$I$31*P2</f>
        <v>24964.507420116814</v>
      </c>
      <c r="Q14" s="366">
        <f>사업개요!$I$31*Q2</f>
        <v>25338.975031418566</v>
      </c>
      <c r="R14" s="366">
        <f>사업개요!$I$31*R2</f>
        <v>25719.059656889836</v>
      </c>
      <c r="S14" s="366">
        <f>사업개요!$I$31*S2</f>
        <v>26104.845551743183</v>
      </c>
      <c r="T14" s="366">
        <f>사업개요!$I$31*T2</f>
        <v>26496.418235019326</v>
      </c>
      <c r="U14" s="366">
        <f>사업개요!$I$31*U2</f>
        <v>26893.864508544611</v>
      </c>
      <c r="V14" s="366">
        <f>사업개요!$I$31*V2</f>
        <v>27297.27247617278</v>
      </c>
      <c r="W14" s="366">
        <f>사업개요!$I$31*W2</f>
        <v>27706.731563315367</v>
      </c>
      <c r="X14" s="366">
        <f>사업개요!$I$31*X2</f>
        <v>28122.33253676509</v>
      </c>
      <c r="Y14" s="366">
        <f>사업개요!$I$31*Y2</f>
        <v>28544.167524816563</v>
      </c>
      <c r="Z14" s="366">
        <f>사업개요!$I$31*Z2</f>
        <v>28972.330037688807</v>
      </c>
      <c r="AA14" s="366">
        <f>사업개요!$I$31*AA2</f>
        <v>29406.914988254135</v>
      </c>
      <c r="AB14" s="366">
        <f>사업개요!$I$31*AB2</f>
        <v>29848.018713077945</v>
      </c>
      <c r="AC14" s="366">
        <f>사업개요!$I$31*AC2</f>
        <v>30295.738993774114</v>
      </c>
      <c r="AD14" s="366">
        <f>사업개요!$I$31*AD2</f>
        <v>30750.175078680717</v>
      </c>
      <c r="AE14" s="366">
        <f>사업개요!$I$31*AE2</f>
        <v>31211.427704860926</v>
      </c>
      <c r="AF14" s="366">
        <f>사업개요!$I$31*AF2</f>
        <v>31679.599120433832</v>
      </c>
      <c r="AG14" s="366">
        <f>사업개요!$I$31*AG2</f>
        <v>32154.793107240341</v>
      </c>
    </row>
    <row r="15" spans="1:33" s="240" customFormat="1">
      <c r="A15" s="367" t="s">
        <v>132</v>
      </c>
      <c r="B15" s="367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</row>
    <row r="16" spans="1:33" s="240" customFormat="1">
      <c r="A16" s="369" t="s">
        <v>25</v>
      </c>
      <c r="B16" s="36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</row>
    <row r="17" spans="1:33" s="240" customFormat="1">
      <c r="B17" s="240" t="s">
        <v>6</v>
      </c>
      <c r="C17" s="366"/>
      <c r="D17" s="366">
        <f>(사업개요!$I$2*사업개요!$I$6)*(1+사업개요!$I$6)^D4</f>
        <v>42350</v>
      </c>
      <c r="E17" s="366">
        <f>(사업개요!$I$2*사업개요!$I$6)*(1+사업개요!$I$6)^E4</f>
        <v>42350</v>
      </c>
      <c r="F17" s="366">
        <f>(사업개요!$I$2*사업개요!$I$6)*(1+사업개요!$I$6)^F4</f>
        <v>42815.85</v>
      </c>
      <c r="G17" s="366">
        <f>(사업개요!$I$2*사업개요!$I$6)*(1+사업개요!$I$6)^G4</f>
        <v>42815.85</v>
      </c>
      <c r="H17" s="366">
        <f>(사업개요!$I$2*사업개요!$I$6)*(1+사업개요!$I$6)^H4</f>
        <v>43286.824349999995</v>
      </c>
      <c r="I17" s="366">
        <f>(사업개요!$I$2*사업개요!$I$6)*(1+사업개요!$I$6)^I4</f>
        <v>43286.824349999995</v>
      </c>
      <c r="J17" s="366">
        <f>(사업개요!$I$2*사업개요!$I$6)*(1+사업개요!$I$6)^J4</f>
        <v>43762.979417849994</v>
      </c>
      <c r="K17" s="366">
        <f>(사업개요!$I$2*사업개요!$I$6)*(1+사업개요!$I$6)^K4</f>
        <v>43762.979417849994</v>
      </c>
      <c r="L17" s="366">
        <f>(사업개요!$I$2*사업개요!$I$6)*(1+사업개요!$I$6)^L4</f>
        <v>44244.372191446339</v>
      </c>
      <c r="M17" s="366">
        <f>(사업개요!$I$2*사업개요!$I$6)*(1+사업개요!$I$6)^M4</f>
        <v>44244.372191446339</v>
      </c>
      <c r="N17" s="366">
        <f>(사업개요!$I$2*사업개요!$I$6)*(1+사업개요!$I$6)^N4</f>
        <v>44731.060285552245</v>
      </c>
      <c r="O17" s="366">
        <f>(사업개요!$I$2*사업개요!$I$6)*(1+사업개요!$I$6)^O4</f>
        <v>44731.060285552245</v>
      </c>
      <c r="P17" s="366">
        <f>(사업개요!$I$2*사업개요!$I$6)*(1+사업개요!$I$6)^P4</f>
        <v>45223.101948693322</v>
      </c>
      <c r="Q17" s="366">
        <f>(사업개요!$I$2*사업개요!$I$6)*(1+사업개요!$I$6)^Q4</f>
        <v>45223.101948693322</v>
      </c>
      <c r="R17" s="366">
        <f>(사업개요!$I$2*사업개요!$I$6)*(1+사업개요!$I$6)^R4</f>
        <v>45720.556070128943</v>
      </c>
      <c r="S17" s="366">
        <f>(사업개요!$I$2*사업개요!$I$6)*(1+사업개요!$I$6)^S4</f>
        <v>45720.556070128943</v>
      </c>
      <c r="T17" s="366">
        <f>(사업개요!$I$2*사업개요!$I$6)*(1+사업개요!$I$6)^T4</f>
        <v>46223.482186900357</v>
      </c>
      <c r="U17" s="366">
        <f>(사업개요!$I$2*사업개요!$I$6)*(1+사업개요!$I$6)^U4</f>
        <v>46223.482186900357</v>
      </c>
      <c r="V17" s="366">
        <f>(사업개요!$I$2*사업개요!$I$6)*(1+사업개요!$I$6)^V4</f>
        <v>46731.940490956258</v>
      </c>
      <c r="W17" s="366">
        <f>(사업개요!$I$2*사업개요!$I$6)*(1+사업개요!$I$6)^W4</f>
        <v>46731.940490956258</v>
      </c>
      <c r="X17" s="366">
        <f>(사업개요!$I$2*사업개요!$I$6)*(1+사업개요!$I$6)^X4</f>
        <v>47245.99183635677</v>
      </c>
      <c r="Y17" s="366">
        <f>(사업개요!$I$2*사업개요!$I$6)*(1+사업개요!$I$6)^Y4</f>
        <v>47245.99183635677</v>
      </c>
      <c r="Z17" s="366">
        <f>(사업개요!$I$2*사업개요!$I$6)*(1+사업개요!$I$6)^Z4</f>
        <v>47765.697746556696</v>
      </c>
      <c r="AA17" s="366">
        <f>(사업개요!$I$2*사업개요!$I$6)*(1+사업개요!$I$6)^AA4</f>
        <v>47765.697746556696</v>
      </c>
      <c r="AB17" s="366">
        <f>(사업개요!$I$2*사업개요!$I$6)*(1+사업개요!$I$6)^AB4</f>
        <v>48291.120421768821</v>
      </c>
      <c r="AC17" s="366">
        <f>(사업개요!$I$2*사업개요!$I$6)*(1+사업개요!$I$6)^AC4</f>
        <v>48291.120421768821</v>
      </c>
      <c r="AD17" s="366">
        <f>(사업개요!$I$2*사업개요!$I$6)*(1+사업개요!$I$6)^AD4</f>
        <v>48822.322746408267</v>
      </c>
      <c r="AE17" s="366">
        <f>(사업개요!$I$2*사업개요!$I$6)*(1+사업개요!$I$6)^AE4</f>
        <v>48822.322746408267</v>
      </c>
      <c r="AF17" s="366">
        <f>(사업개요!$I$2*사업개요!$I$6)*(1+사업개요!$I$6)^AF4</f>
        <v>49359.368296618755</v>
      </c>
      <c r="AG17" s="366">
        <f>(사업개요!$I$2*사업개요!$I$6)*(1+사업개요!$I$6)^AG4</f>
        <v>49359.368296618755</v>
      </c>
    </row>
    <row r="18" spans="1:33" s="240" customFormat="1">
      <c r="B18" s="240" t="s">
        <v>13</v>
      </c>
      <c r="C18" s="365"/>
      <c r="D18" s="366">
        <f>IFERROR(C56*사업개요!$C$25,0)</f>
        <v>104082.56948866636</v>
      </c>
      <c r="E18" s="366">
        <f>IFERROR(D56*사업개요!$C$25,0)</f>
        <v>72857.798642066453</v>
      </c>
      <c r="F18" s="366">
        <f>IFERROR(E56*사업개요!$C$25,0)</f>
        <v>72857.798642066453</v>
      </c>
      <c r="G18" s="366">
        <f>IFERROR(F56*사업개요!$C$25,0)</f>
        <v>69735.321557406467</v>
      </c>
      <c r="H18" s="366">
        <f>IFERROR(G56*사업개요!$C$25,0)</f>
        <v>69735.321557406467</v>
      </c>
      <c r="I18" s="366">
        <f>IFERROR(H56*사업개요!$C$25,0)</f>
        <v>66612.844472746481</v>
      </c>
      <c r="J18" s="366">
        <f>IFERROR(I56*사업개요!$C$25,0)</f>
        <v>66612.844472746481</v>
      </c>
      <c r="K18" s="366">
        <f>IFERROR(J56*사업개요!$C$25,0)</f>
        <v>63490.367388086488</v>
      </c>
      <c r="L18" s="366">
        <f>IFERROR(K56*사업개요!$C$25,0)</f>
        <v>63490.367388086488</v>
      </c>
      <c r="M18" s="366">
        <f>IFERROR(L56*사업개요!$C$25,0)</f>
        <v>60367.890303426502</v>
      </c>
      <c r="N18" s="366">
        <f>IFERROR(M56*사업개요!$C$25,0)</f>
        <v>60367.890303426502</v>
      </c>
      <c r="O18" s="366">
        <f>IFERROR(N56*사업개요!$C$25,0)</f>
        <v>57245.413218766516</v>
      </c>
      <c r="P18" s="366">
        <f>IFERROR(O56*사업개요!$C$25,0)</f>
        <v>57245.413218766516</v>
      </c>
      <c r="Q18" s="366">
        <f>IFERROR(P56*사업개요!$C$25,0)</f>
        <v>54122.936134106531</v>
      </c>
      <c r="R18" s="366">
        <f>IFERROR(Q56*사업개요!$C$25,0)</f>
        <v>54122.936134106531</v>
      </c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</row>
    <row r="19" spans="1:33" s="240" customFormat="1">
      <c r="B19" s="240" t="s">
        <v>149</v>
      </c>
      <c r="C19" s="365"/>
      <c r="D19" s="366">
        <f>IFERROR((D53+D54-D55)*사업개요!$C$28,0)</f>
        <v>2029.4651432330488</v>
      </c>
      <c r="E19" s="366">
        <f>IFERROR((E53+E54-E55)*사업개요!$C$28,0)</f>
        <v>2029.4651432330488</v>
      </c>
      <c r="F19" s="366">
        <f>IFERROR((F53+F54-F55)*사업개요!$C$28,0)</f>
        <v>1942.4880656659182</v>
      </c>
      <c r="G19" s="366">
        <f>IFERROR((G53+G54-G55)*사업개요!$C$28,0)</f>
        <v>1942.4880656659182</v>
      </c>
      <c r="H19" s="366">
        <f>IFERROR((H53+H54-H55)*사업개요!$C$28,0)</f>
        <v>1855.5109880987877</v>
      </c>
      <c r="I19" s="366">
        <f>IFERROR((I53+I54-I55)*사업개요!$C$28,0)</f>
        <v>1855.5109880987877</v>
      </c>
      <c r="J19" s="366">
        <f>IFERROR((J53+J54-J55)*사업개요!$C$28,0)</f>
        <v>1768.5339105316571</v>
      </c>
      <c r="K19" s="366">
        <f>IFERROR((K53+K54-K55)*사업개요!$C$28,0)</f>
        <v>1768.5339105316571</v>
      </c>
      <c r="L19" s="366">
        <f>IFERROR((L53+L54-L55)*사업개요!$C$28,0)</f>
        <v>1681.5568329645266</v>
      </c>
      <c r="M19" s="366">
        <f>IFERROR((M53+M54-M55)*사업개요!$C$28,0)</f>
        <v>1681.5568329645266</v>
      </c>
      <c r="N19" s="366">
        <f>IFERROR((N53+N54-N55)*사업개요!$C$28,0)</f>
        <v>1594.579755397396</v>
      </c>
      <c r="O19" s="366">
        <f>IFERROR((O53+O54-O55)*사업개요!$C$28,0)</f>
        <v>1594.579755397396</v>
      </c>
      <c r="P19" s="366">
        <f>IFERROR((P53+P54-P55)*사업개요!$C$28,0)</f>
        <v>1507.6026778302653</v>
      </c>
      <c r="Q19" s="366">
        <f>IFERROR((Q53+Q54-Q55)*사업개요!$C$28,0)</f>
        <v>1507.6026778302653</v>
      </c>
      <c r="R19" s="366">
        <f>IFERROR((R53+R54-R55)*사업개요!$C$28,0)</f>
        <v>9.3132257461547854E-13</v>
      </c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</row>
    <row r="20" spans="1:33" s="240" customFormat="1">
      <c r="B20" s="240" t="s">
        <v>151</v>
      </c>
      <c r="C20" s="365"/>
      <c r="D20" s="366">
        <f>-MIN(D8-D7,D6)</f>
        <v>-51896.322948387955</v>
      </c>
      <c r="E20" s="366">
        <f t="shared" ref="E20:R20" si="4">-MIN(E8-E7,E6)</f>
        <v>-36327.426063871571</v>
      </c>
      <c r="F20" s="366">
        <f t="shared" si="4"/>
        <v>-36327.426063871571</v>
      </c>
      <c r="G20" s="366">
        <f t="shared" si="4"/>
        <v>-34770.536375419935</v>
      </c>
      <c r="H20" s="366">
        <f t="shared" si="4"/>
        <v>-34770.536375419935</v>
      </c>
      <c r="I20" s="366">
        <f t="shared" si="4"/>
        <v>-33213.646686968299</v>
      </c>
      <c r="J20" s="366">
        <f t="shared" si="4"/>
        <v>-33213.646686968299</v>
      </c>
      <c r="K20" s="366">
        <f t="shared" si="4"/>
        <v>-31656.756998516659</v>
      </c>
      <c r="L20" s="366">
        <f t="shared" si="4"/>
        <v>-31656.756998516659</v>
      </c>
      <c r="M20" s="366">
        <f t="shared" si="4"/>
        <v>-30099.867310065023</v>
      </c>
      <c r="N20" s="366">
        <f t="shared" si="4"/>
        <v>-30099.867310065023</v>
      </c>
      <c r="O20" s="366">
        <f t="shared" si="4"/>
        <v>-28542.977621613387</v>
      </c>
      <c r="P20" s="366">
        <f t="shared" si="4"/>
        <v>-28542.977621613387</v>
      </c>
      <c r="Q20" s="366">
        <f t="shared" si="4"/>
        <v>-26986.087933161751</v>
      </c>
      <c r="R20" s="366">
        <f t="shared" si="4"/>
        <v>-26986.087933161751</v>
      </c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</row>
    <row r="21" spans="1:33" s="394" customFormat="1"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</row>
    <row r="22" spans="1:33" s="240" customFormat="1">
      <c r="A22" s="369" t="s">
        <v>26</v>
      </c>
      <c r="B22" s="36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</row>
    <row r="23" spans="1:33" s="240" customFormat="1">
      <c r="B23" s="240" t="s">
        <v>14</v>
      </c>
      <c r="C23" s="365"/>
      <c r="D23" s="365">
        <f>사업개요!$O$10*사업개요!$C$3*D3</f>
        <v>2215.0703879999996</v>
      </c>
      <c r="E23" s="365">
        <f>사업개요!$O$10*사업개요!$C$3*E3</f>
        <v>2215.0703879999996</v>
      </c>
      <c r="F23" s="365">
        <f>사업개요!$O$10*사업개요!$C$3*F3</f>
        <v>2215.0703879999996</v>
      </c>
      <c r="G23" s="365">
        <f>사업개요!$O$10*사업개요!$C$3*G3</f>
        <v>2215.0703879999996</v>
      </c>
      <c r="H23" s="365">
        <f>사업개요!$O$10*사업개요!$C$3*H3</f>
        <v>2215.0703879999996</v>
      </c>
      <c r="I23" s="365">
        <f>사업개요!$O$10*사업개요!$C$3*I3</f>
        <v>8614.1626199999992</v>
      </c>
      <c r="J23" s="365">
        <f>사업개요!$O$10*사업개요!$C$3*J3</f>
        <v>8614.1626199999992</v>
      </c>
      <c r="K23" s="365">
        <f>사업개요!$O$10*사업개요!$C$3*K3</f>
        <v>8614.1626199999992</v>
      </c>
      <c r="L23" s="365">
        <f>사업개요!$O$10*사업개요!$C$3*L3</f>
        <v>8614.1626199999992</v>
      </c>
      <c r="M23" s="365">
        <f>사업개요!$O$10*사업개요!$C$3*M3</f>
        <v>8614.1626199999992</v>
      </c>
      <c r="N23" s="365">
        <f>사업개요!$O$10*사업개요!$C$3*N3</f>
        <v>20920.109219999998</v>
      </c>
      <c r="O23" s="365">
        <f>사업개요!$O$10*사업개요!$C$3*O3</f>
        <v>20920.109219999998</v>
      </c>
      <c r="P23" s="365">
        <f>사업개요!$O$10*사업개요!$C$3*P3</f>
        <v>20920.109219999998</v>
      </c>
      <c r="Q23" s="365">
        <f>사업개요!$O$10*사업개요!$C$3*Q3</f>
        <v>20920.109219999998</v>
      </c>
      <c r="R23" s="365">
        <f>사업개요!$O$10*사업개요!$C$3*R3</f>
        <v>20920.109219999998</v>
      </c>
      <c r="S23" s="365">
        <f>사업개요!$O$10*사업개요!$C$3*S3</f>
        <v>28549.796111999996</v>
      </c>
      <c r="T23" s="365">
        <f>사업개요!$O$10*사업개요!$C$3*T3</f>
        <v>28549.796111999996</v>
      </c>
      <c r="U23" s="365">
        <f>사업개요!$O$10*사업개요!$C$3*U3</f>
        <v>28549.796111999996</v>
      </c>
      <c r="V23" s="365">
        <f>사업개요!$O$10*사업개요!$C$3*V3</f>
        <v>28549.796111999996</v>
      </c>
      <c r="W23" s="365">
        <f>사업개요!$O$10*사업개요!$C$3*W3</f>
        <v>28549.796111999996</v>
      </c>
      <c r="X23" s="365">
        <f>사업개요!$O$10*사업개요!$C$3*X3</f>
        <v>34456.650479999997</v>
      </c>
      <c r="Y23" s="365">
        <f>사업개요!$O$10*사업개요!$C$3*Y3</f>
        <v>34456.650479999997</v>
      </c>
      <c r="Z23" s="365">
        <f>사업개요!$O$10*사업개요!$C$3*Z3</f>
        <v>34456.650479999997</v>
      </c>
      <c r="AA23" s="365">
        <f>사업개요!$O$10*사업개요!$C$3*AA3</f>
        <v>34456.650479999997</v>
      </c>
      <c r="AB23" s="365">
        <f>사업개요!$O$10*사업개요!$C$3*AB3</f>
        <v>34456.650479999997</v>
      </c>
      <c r="AC23" s="365">
        <f>사업개요!$O$10*사업개요!$C$3*AC3</f>
        <v>43809.169895999999</v>
      </c>
      <c r="AD23" s="365">
        <f>사업개요!$O$10*사업개요!$C$3*AD3</f>
        <v>43809.169895999999</v>
      </c>
      <c r="AE23" s="365">
        <f>사업개요!$O$10*사업개요!$C$3*AE3</f>
        <v>43809.169895999999</v>
      </c>
      <c r="AF23" s="365">
        <f>사업개요!$O$10*사업개요!$C$3*AF3</f>
        <v>43809.169895999999</v>
      </c>
      <c r="AG23" s="365">
        <f>사업개요!$O$10*사업개요!$C$3*AG3</f>
        <v>43809.169895999999</v>
      </c>
    </row>
    <row r="24" spans="1:33" s="240" customFormat="1">
      <c r="B24" s="240" t="s">
        <v>15</v>
      </c>
      <c r="C24" s="365"/>
      <c r="D24" s="365">
        <f>사업개요!$I$29*D2</f>
        <v>3480</v>
      </c>
      <c r="E24" s="365">
        <f>사업개요!$I$29*E2</f>
        <v>3532.2</v>
      </c>
      <c r="F24" s="365">
        <f>사업개요!$I$29*F2</f>
        <v>3585.1829999999991</v>
      </c>
      <c r="G24" s="365">
        <f>사업개요!$I$29*G2</f>
        <v>3638.9607449999985</v>
      </c>
      <c r="H24" s="365">
        <f>사업개요!$I$29*H2</f>
        <v>3693.5451561749978</v>
      </c>
      <c r="I24" s="365">
        <f>사업개요!$I$29*I2</f>
        <v>3748.9483335176224</v>
      </c>
      <c r="J24" s="365">
        <f>사업개요!$I$29*J2</f>
        <v>3805.182558520386</v>
      </c>
      <c r="K24" s="365">
        <f>사업개요!$I$29*K2</f>
        <v>3862.2602968981914</v>
      </c>
      <c r="L24" s="365">
        <f>사업개요!$I$29*L2</f>
        <v>3920.1942013516637</v>
      </c>
      <c r="M24" s="365">
        <f>사업개요!$I$29*M2</f>
        <v>3978.9971143719381</v>
      </c>
      <c r="N24" s="365">
        <f>사업개요!$I$29*N2</f>
        <v>4038.6820710875168</v>
      </c>
      <c r="O24" s="365">
        <f>사업개요!$I$29*O2</f>
        <v>4099.2623021538293</v>
      </c>
      <c r="P24" s="365">
        <f>사업개요!$I$29*P2</f>
        <v>4160.7512366861356</v>
      </c>
      <c r="Q24" s="365">
        <f>사업개요!$I$29*Q2</f>
        <v>4223.1625052364279</v>
      </c>
      <c r="R24" s="365">
        <f>사업개요!$I$29*R2</f>
        <v>4286.5099428149724</v>
      </c>
      <c r="S24" s="365">
        <f>사업개요!$I$29*S2</f>
        <v>4350.8075919571966</v>
      </c>
      <c r="T24" s="365">
        <f>사업개요!$I$29*T2</f>
        <v>4416.069705836554</v>
      </c>
      <c r="U24" s="365">
        <f>사업개요!$I$29*U2</f>
        <v>4482.3107514241019</v>
      </c>
      <c r="V24" s="365">
        <f>사업개요!$I$29*V2</f>
        <v>4549.5454126954628</v>
      </c>
      <c r="W24" s="365">
        <f>사업개요!$I$29*W2</f>
        <v>4617.7885938858944</v>
      </c>
      <c r="X24" s="365">
        <f>사업개요!$I$29*X2</f>
        <v>4687.055422794182</v>
      </c>
      <c r="Y24" s="365">
        <f>사업개요!$I$29*Y2</f>
        <v>4757.3612541360935</v>
      </c>
      <c r="Z24" s="365">
        <f>사업개요!$I$29*Z2</f>
        <v>4828.7216729481343</v>
      </c>
      <c r="AA24" s="365">
        <f>사업개요!$I$29*AA2</f>
        <v>4901.1524980423565</v>
      </c>
      <c r="AB24" s="365">
        <f>사업개요!$I$29*AB2</f>
        <v>4974.6697855129905</v>
      </c>
      <c r="AC24" s="365">
        <f>사업개요!$I$29*AC2</f>
        <v>5049.2898322956853</v>
      </c>
      <c r="AD24" s="365">
        <f>사업개요!$I$29*AD2</f>
        <v>5125.0291797801201</v>
      </c>
      <c r="AE24" s="365">
        <f>사업개요!$I$29*AE2</f>
        <v>5201.9046174768209</v>
      </c>
      <c r="AF24" s="365">
        <f>사업개요!$I$29*AF2</f>
        <v>5279.9331867389719</v>
      </c>
      <c r="AG24" s="365">
        <f>사업개요!$I$29*AG2</f>
        <v>5359.1321845400562</v>
      </c>
    </row>
    <row r="25" spans="1:33" s="240" customFormat="1">
      <c r="B25" s="240" t="s">
        <v>128</v>
      </c>
      <c r="C25" s="365"/>
      <c r="D25" s="365">
        <f>'사업자작성1(호별개요)'!$BI$40*D2</f>
        <v>1022.7172039966715</v>
      </c>
      <c r="E25" s="365">
        <f>'사업자작성1(호별개요)'!$BI$40*E2</f>
        <v>1038.0579620566216</v>
      </c>
      <c r="F25" s="365">
        <f>'사업자작성1(호별개요)'!$BI$40*F2</f>
        <v>1053.6288314874707</v>
      </c>
      <c r="G25" s="365">
        <f>'사업자작성1(호별개요)'!$BI$40*G2</f>
        <v>1069.4332639597826</v>
      </c>
      <c r="H25" s="365">
        <f>'사업자작성1(호별개요)'!$BI$40*H2</f>
        <v>1085.4747629191791</v>
      </c>
      <c r="I25" s="365">
        <f>'사업자작성1(호별개요)'!$BI$40*I2</f>
        <v>1101.7568843629667</v>
      </c>
      <c r="J25" s="365">
        <f>'사업자작성1(호별개요)'!$BI$40*J2</f>
        <v>1118.2832376284109</v>
      </c>
      <c r="K25" s="365">
        <f>'사업자작성1(호별개요)'!$BI$40*K2</f>
        <v>1135.0574861928369</v>
      </c>
      <c r="L25" s="365">
        <f>'사업자작성1(호별개요)'!$BI$40*L2</f>
        <v>1152.0833484857294</v>
      </c>
      <c r="M25" s="365">
        <f>'사업자작성1(호별개요)'!$BI$40*M2</f>
        <v>1169.3645987130153</v>
      </c>
      <c r="N25" s="365">
        <f>'사업자작성1(호별개요)'!$BI$40*N2</f>
        <v>1186.9050676937104</v>
      </c>
      <c r="O25" s="365">
        <f>'사업자작성1(호별개요)'!$BI$40*O2</f>
        <v>1204.7086437091159</v>
      </c>
      <c r="P25" s="365">
        <f>'사업자작성1(호별개요)'!$BI$40*P2</f>
        <v>1222.7792733647523</v>
      </c>
      <c r="Q25" s="365">
        <f>'사업자작성1(호별개요)'!$BI$40*Q2</f>
        <v>1241.1209624652236</v>
      </c>
      <c r="R25" s="365">
        <f>'사업자작성1(호별개요)'!$BI$40*R2</f>
        <v>1259.7377769022016</v>
      </c>
      <c r="S25" s="365">
        <f>'사업자작성1(호별개요)'!$BI$40*S2</f>
        <v>1278.6338435557343</v>
      </c>
      <c r="T25" s="365">
        <f>'사업자작성1(호별개요)'!$BI$40*T2</f>
        <v>1297.8133512090703</v>
      </c>
      <c r="U25" s="365">
        <f>'사업자작성1(호별개요)'!$BI$40*U2</f>
        <v>1317.280551477206</v>
      </c>
      <c r="V25" s="365">
        <f>'사업자작성1(호별개요)'!$BI$40*V2</f>
        <v>1337.0397597493641</v>
      </c>
      <c r="W25" s="365">
        <f>'사업자작성1(호별개요)'!$BI$40*W2</f>
        <v>1357.0953561456045</v>
      </c>
      <c r="X25" s="365">
        <f>'사업자작성1(호별개요)'!$BI$40*X2</f>
        <v>1377.451786487788</v>
      </c>
      <c r="Y25" s="365">
        <f>'사업자작성1(호별개요)'!$BI$40*Y2</f>
        <v>1398.1135632851049</v>
      </c>
      <c r="Z25" s="365">
        <f>'사업자작성1(호별개요)'!$BI$40*Z2</f>
        <v>1419.0852667343811</v>
      </c>
      <c r="AA25" s="365">
        <f>'사업자작성1(호별개요)'!$BI$40*AA2</f>
        <v>1440.3715457353967</v>
      </c>
      <c r="AB25" s="365">
        <f>'사업자작성1(호별개요)'!$BI$40*AB2</f>
        <v>1461.9771189214273</v>
      </c>
      <c r="AC25" s="365">
        <f>'사업자작성1(호별개요)'!$BI$40*AC2</f>
        <v>1483.9067757052487</v>
      </c>
      <c r="AD25" s="365">
        <f>'사업자작성1(호별개요)'!$BI$40*AD2</f>
        <v>1506.1653773408273</v>
      </c>
      <c r="AE25" s="365">
        <f>'사업자작성1(호별개요)'!$BI$40*AE2</f>
        <v>1528.7578580009394</v>
      </c>
      <c r="AF25" s="365">
        <f>'사업자작성1(호별개요)'!$BI$40*AF2</f>
        <v>1551.6892258709531</v>
      </c>
      <c r="AG25" s="365">
        <f>'사업자작성1(호별개요)'!$BI$40*AG2</f>
        <v>1574.9645642590176</v>
      </c>
    </row>
    <row r="26" spans="1:33" s="240" customFormat="1">
      <c r="B26" s="240" t="s">
        <v>129</v>
      </c>
      <c r="C26" s="365"/>
      <c r="D26" s="372">
        <f>'사업자작성1(호별개요)'!$AB$49*D2</f>
        <v>588.69090525000013</v>
      </c>
      <c r="E26" s="372">
        <f>'사업자작성1(호별개요)'!$AB$49*E2</f>
        <v>597.52126882875007</v>
      </c>
      <c r="F26" s="372">
        <f>'사업자작성1(호별개요)'!$AB$49*F2</f>
        <v>606.48408786118125</v>
      </c>
      <c r="G26" s="372">
        <f>'사업자작성1(호별개요)'!$AB$49*G2</f>
        <v>615.58134917909888</v>
      </c>
      <c r="H26" s="372">
        <f>'사업자작성1(호별개요)'!$AB$49*H2</f>
        <v>624.81506941678526</v>
      </c>
      <c r="I26" s="372">
        <f>'사업자작성1(호별개요)'!$AB$49*I2</f>
        <v>634.18729545803694</v>
      </c>
      <c r="J26" s="372">
        <f>'사업자작성1(호별개요)'!$AB$49*J2</f>
        <v>643.70010488990738</v>
      </c>
      <c r="K26" s="372">
        <f>'사업자작성1(호별개요)'!$AB$49*K2</f>
        <v>653.35560646325587</v>
      </c>
      <c r="L26" s="372">
        <f>'사업자작성1(호별개요)'!$AB$49*L2</f>
        <v>663.15594056020473</v>
      </c>
      <c r="M26" s="372">
        <f>'사업자작성1(호별개요)'!$AB$49*M2</f>
        <v>673.10327966860768</v>
      </c>
      <c r="N26" s="372">
        <f>'사업자작성1(호별개요)'!$AB$49*N2</f>
        <v>683.19982886363675</v>
      </c>
      <c r="O26" s="372">
        <f>'사업자작성1(호별개요)'!$AB$49*O2</f>
        <v>693.44782629659119</v>
      </c>
      <c r="P26" s="372">
        <f>'사업자작성1(호별개요)'!$AB$49*P2</f>
        <v>703.84954369103991</v>
      </c>
      <c r="Q26" s="372">
        <f>'사업자작성1(호별개요)'!$AB$49*Q2</f>
        <v>714.40728684640544</v>
      </c>
      <c r="R26" s="372">
        <f>'사업자작성1(호별개요)'!$AB$49*R2</f>
        <v>725.12339614910138</v>
      </c>
      <c r="S26" s="372">
        <f>'사업자작성1(호별개요)'!$AB$49*S2</f>
        <v>736.00024709133777</v>
      </c>
      <c r="T26" s="372">
        <f>'사업자작성1(호별개요)'!$AB$49*T2</f>
        <v>747.0402507977077</v>
      </c>
      <c r="U26" s="372">
        <f>'사업자작성1(호별개요)'!$AB$49*U2</f>
        <v>758.24585455967326</v>
      </c>
      <c r="V26" s="372">
        <f>'사업자작성1(호별개요)'!$AB$49*V2</f>
        <v>769.61954237806833</v>
      </c>
      <c r="W26" s="372">
        <f>'사업자작성1(호별개요)'!$AB$49*W2</f>
        <v>781.16383551373929</v>
      </c>
      <c r="X26" s="372">
        <f>'사업자작성1(호별개요)'!$AB$49*X2</f>
        <v>792.88129304644508</v>
      </c>
      <c r="Y26" s="372">
        <f>'사업자작성1(호별개요)'!$AB$49*Y2</f>
        <v>804.77451244214171</v>
      </c>
      <c r="Z26" s="372">
        <f>'사업자작성1(호별개요)'!$AB$49*Z2</f>
        <v>816.84613012877367</v>
      </c>
      <c r="AA26" s="372">
        <f>'사업자작성1(호별개요)'!$AB$49*AA2</f>
        <v>829.09882208070519</v>
      </c>
      <c r="AB26" s="372">
        <f>'사업자작성1(호별개요)'!$AB$49*AB2</f>
        <v>841.5353044119156</v>
      </c>
      <c r="AC26" s="372">
        <f>'사업자작성1(호별개요)'!$AB$49*AC2</f>
        <v>854.15833397809433</v>
      </c>
      <c r="AD26" s="372">
        <f>'사업자작성1(호별개요)'!$AB$49*AD2</f>
        <v>866.97070898776565</v>
      </c>
      <c r="AE26" s="372">
        <f>'사업자작성1(호별개요)'!$AB$49*AE2</f>
        <v>879.975269622582</v>
      </c>
      <c r="AF26" s="372">
        <f>'사업자작성1(호별개요)'!$AB$49*AF2</f>
        <v>893.17489866692051</v>
      </c>
      <c r="AG26" s="372">
        <f>'사업자작성1(호별개요)'!$AB$49*AG2</f>
        <v>906.57252214692437</v>
      </c>
    </row>
    <row r="27" spans="1:33" s="240" customFormat="1">
      <c r="B27" s="240" t="s">
        <v>17</v>
      </c>
      <c r="C27" s="365"/>
      <c r="D27" s="373">
        <f>사업개요!$I$30*D2</f>
        <v>19140</v>
      </c>
      <c r="E27" s="373">
        <f>사업개요!$I$30*E2</f>
        <v>19427.099999999999</v>
      </c>
      <c r="F27" s="373">
        <f>사업개요!$I$30*F2</f>
        <v>19718.506499999996</v>
      </c>
      <c r="G27" s="373">
        <f>사업개요!$I$30*G2</f>
        <v>20014.284097499993</v>
      </c>
      <c r="H27" s="373">
        <f>사업개요!$I$30*H2</f>
        <v>20314.49835896249</v>
      </c>
      <c r="I27" s="373">
        <f>사업개요!$I$30*I2</f>
        <v>20619.215834346924</v>
      </c>
      <c r="J27" s="373">
        <f>사업개요!$I$30*J2</f>
        <v>20928.504071862124</v>
      </c>
      <c r="K27" s="373">
        <f>사업개요!$I$30*K2</f>
        <v>21242.431632940054</v>
      </c>
      <c r="L27" s="373">
        <f>사업개요!$I$30*L2</f>
        <v>21561.068107434152</v>
      </c>
      <c r="M27" s="373">
        <f>사업개요!$I$30*M2</f>
        <v>21884.484129045661</v>
      </c>
      <c r="N27" s="373">
        <f>사업개요!$I$30*N2</f>
        <v>22212.751390981342</v>
      </c>
      <c r="O27" s="373">
        <f>사업개요!$I$30*O2</f>
        <v>22545.94266184606</v>
      </c>
      <c r="P27" s="373">
        <f>사업개요!$I$30*P2</f>
        <v>22884.131801773747</v>
      </c>
      <c r="Q27" s="373">
        <f>사업개요!$I$30*Q2</f>
        <v>23227.393778800353</v>
      </c>
      <c r="R27" s="373">
        <f>사업개요!$I$30*R2</f>
        <v>23575.804685482351</v>
      </c>
      <c r="S27" s="373">
        <f>사업개요!$I$30*S2</f>
        <v>23929.441755764583</v>
      </c>
      <c r="T27" s="373">
        <f>사업개요!$I$30*T2</f>
        <v>24288.383382101048</v>
      </c>
      <c r="U27" s="373">
        <f>사업개요!$I$30*U2</f>
        <v>24652.709132832562</v>
      </c>
      <c r="V27" s="373">
        <f>사업개요!$I$30*V2</f>
        <v>25022.499769825048</v>
      </c>
      <c r="W27" s="373">
        <f>사업개요!$I$30*W2</f>
        <v>25397.837266372422</v>
      </c>
      <c r="X27" s="373">
        <f>사업개요!$I$30*X2</f>
        <v>25778.804825367999</v>
      </c>
      <c r="Y27" s="373">
        <f>사업개요!$I$30*Y2</f>
        <v>26165.486897748517</v>
      </c>
      <c r="Z27" s="373">
        <f>사업개요!$I$30*Z2</f>
        <v>26557.969201214739</v>
      </c>
      <c r="AA27" s="373">
        <f>사업개요!$I$30*AA2</f>
        <v>26956.338739232961</v>
      </c>
      <c r="AB27" s="373">
        <f>사업개요!$I$30*AB2</f>
        <v>27360.683820321447</v>
      </c>
      <c r="AC27" s="373">
        <f>사업개요!$I$30*AC2</f>
        <v>27771.094077626269</v>
      </c>
      <c r="AD27" s="373">
        <f>사업개요!$I$30*AD2</f>
        <v>28187.660488790658</v>
      </c>
      <c r="AE27" s="373">
        <f>사업개요!$I$30*AE2</f>
        <v>28610.475396122514</v>
      </c>
      <c r="AF27" s="373">
        <f>사업개요!$I$30*AF2</f>
        <v>29039.632527064347</v>
      </c>
      <c r="AG27" s="373">
        <f>사업개요!$I$30*AG2</f>
        <v>29475.227014970311</v>
      </c>
    </row>
    <row r="28" spans="1:33" s="394" customFormat="1"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</row>
    <row r="29" spans="1:33" s="240" customFormat="1">
      <c r="A29" s="374" t="s">
        <v>21</v>
      </c>
      <c r="B29" s="375"/>
      <c r="C29" s="376"/>
      <c r="D29" s="376">
        <f>SUM(D11:D14)-SUM(D17:D27)</f>
        <v>30917.929819241879</v>
      </c>
      <c r="E29" s="376">
        <f t="shared" ref="E29:AG29" ca="1" si="5">SUM(E11:E14)-SUM(E17:E27)</f>
        <v>48500.643989608769</v>
      </c>
      <c r="F29" s="376">
        <f t="shared" ca="1" si="5"/>
        <v>55583.04815999046</v>
      </c>
      <c r="G29" s="376">
        <f t="shared" ca="1" si="5"/>
        <v>56376.787610789586</v>
      </c>
      <c r="H29" s="376">
        <f t="shared" ca="1" si="5"/>
        <v>63828.252361704013</v>
      </c>
      <c r="I29" s="376">
        <f t="shared" ca="1" si="5"/>
        <v>58136.391688456657</v>
      </c>
      <c r="J29" s="376">
        <f t="shared" ca="1" si="5"/>
        <v>65975.602136963862</v>
      </c>
      <c r="K29" s="376">
        <f t="shared" ca="1" si="5"/>
        <v>66691.161112600326</v>
      </c>
      <c r="L29" s="376">
        <f t="shared" ca="1" si="5"/>
        <v>74937.739775331254</v>
      </c>
      <c r="M29" s="376">
        <f t="shared" ca="1" si="5"/>
        <v>75611.3010167639</v>
      </c>
      <c r="N29" s="376">
        <f t="shared" ca="1" si="5"/>
        <v>71886.916092536529</v>
      </c>
      <c r="O29" s="376">
        <f t="shared" ca="1" si="5"/>
        <v>72516.412816036958</v>
      </c>
      <c r="P29" s="376">
        <f t="shared" ca="1" si="5"/>
        <v>81640.582014702071</v>
      </c>
      <c r="Q29" s="376">
        <f t="shared" ca="1" si="5"/>
        <v>82223.845097893136</v>
      </c>
      <c r="R29" s="376">
        <f t="shared" ca="1" si="5"/>
        <v>93251.716342134328</v>
      </c>
      <c r="S29" s="376">
        <f t="shared" ca="1" si="5"/>
        <v>111863.621794212</v>
      </c>
      <c r="T29" s="376">
        <f t="shared" ca="1" si="5"/>
        <v>121868.70454058479</v>
      </c>
      <c r="U29" s="376">
        <f t="shared" ca="1" si="5"/>
        <v>120775.13990310955</v>
      </c>
      <c r="V29" s="376">
        <f t="shared" ca="1" si="5"/>
        <v>131301.49138482846</v>
      </c>
      <c r="W29" s="376">
        <f t="shared" ca="1" si="5"/>
        <v>130154.51956136146</v>
      </c>
      <c r="X29" s="376">
        <f t="shared" ca="1" si="5"/>
        <v>135276.96790340476</v>
      </c>
      <c r="Y29" s="376">
        <f t="shared" ca="1" si="5"/>
        <v>134073.95695200827</v>
      </c>
      <c r="Z29" s="376">
        <f t="shared" ca="1" si="5"/>
        <v>145723.12138951564</v>
      </c>
      <c r="AA29" s="376">
        <f t="shared" ca="1" si="5"/>
        <v>144461.30893231975</v>
      </c>
      <c r="AB29" s="376">
        <f t="shared" ca="1" si="5"/>
        <v>156714.72256229614</v>
      </c>
      <c r="AC29" s="376">
        <f t="shared" ca="1" si="5"/>
        <v>145968.01593255147</v>
      </c>
      <c r="AD29" s="376">
        <f t="shared" ca="1" si="5"/>
        <v>158856.15723965503</v>
      </c>
      <c r="AE29" s="376">
        <f t="shared" ca="1" si="5"/>
        <v>157467.90013674568</v>
      </c>
      <c r="AF29" s="376">
        <f t="shared" ca="1" si="5"/>
        <v>171022.77525179606</v>
      </c>
      <c r="AG29" s="376">
        <f t="shared" ca="1" si="5"/>
        <v>202583.93806188411</v>
      </c>
    </row>
    <row r="30" spans="1:33" s="394" customFormat="1"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</row>
    <row r="31" spans="1:33" s="377" customFormat="1">
      <c r="A31" s="377" t="s">
        <v>139</v>
      </c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</row>
    <row r="32" spans="1:33" s="240" customFormat="1">
      <c r="B32" s="240" t="s">
        <v>7</v>
      </c>
      <c r="C32" s="365"/>
      <c r="D32" s="366">
        <f>C34</f>
        <v>0</v>
      </c>
      <c r="E32" s="366">
        <f>D34</f>
        <v>2151142</v>
      </c>
      <c r="F32" s="366">
        <f t="shared" ref="F32:AG32" si="6">E34</f>
        <v>2151142</v>
      </c>
      <c r="G32" s="366">
        <f t="shared" si="6"/>
        <v>2258699.1</v>
      </c>
      <c r="H32" s="366">
        <f t="shared" si="6"/>
        <v>2258699.1</v>
      </c>
      <c r="I32" s="366">
        <f t="shared" si="6"/>
        <v>2371634.0550000002</v>
      </c>
      <c r="J32" s="366">
        <f t="shared" si="6"/>
        <v>2371634.0550000002</v>
      </c>
      <c r="K32" s="366">
        <f t="shared" si="6"/>
        <v>2490215.7577500003</v>
      </c>
      <c r="L32" s="366">
        <f t="shared" si="6"/>
        <v>2490215.7577500003</v>
      </c>
      <c r="M32" s="366">
        <f t="shared" si="6"/>
        <v>2614726.5456375005</v>
      </c>
      <c r="N32" s="366">
        <f t="shared" si="6"/>
        <v>2614726.5456375005</v>
      </c>
      <c r="O32" s="366">
        <f t="shared" si="6"/>
        <v>2745462.8729193755</v>
      </c>
      <c r="P32" s="366">
        <f t="shared" si="6"/>
        <v>2745462.8729193755</v>
      </c>
      <c r="Q32" s="366">
        <f t="shared" si="6"/>
        <v>2882736.0165653443</v>
      </c>
      <c r="R32" s="366">
        <f t="shared" si="6"/>
        <v>2882736.0165653443</v>
      </c>
      <c r="S32" s="366">
        <f t="shared" si="6"/>
        <v>3026872.8173936117</v>
      </c>
      <c r="T32" s="366">
        <f t="shared" si="6"/>
        <v>3026872.8173936117</v>
      </c>
      <c r="U32" s="366">
        <f t="shared" si="6"/>
        <v>3178216.4582632924</v>
      </c>
      <c r="V32" s="366">
        <f t="shared" si="6"/>
        <v>3178216.4582632924</v>
      </c>
      <c r="W32" s="366">
        <f t="shared" si="6"/>
        <v>3337127.2811764572</v>
      </c>
      <c r="X32" s="366">
        <f t="shared" si="6"/>
        <v>3337127.2811764572</v>
      </c>
      <c r="Y32" s="366">
        <f t="shared" si="6"/>
        <v>3503983.64523528</v>
      </c>
      <c r="Z32" s="366">
        <f t="shared" si="6"/>
        <v>3503983.64523528</v>
      </c>
      <c r="AA32" s="366">
        <f t="shared" si="6"/>
        <v>3679182.8274970441</v>
      </c>
      <c r="AB32" s="366">
        <f t="shared" si="6"/>
        <v>3679182.8274970441</v>
      </c>
      <c r="AC32" s="366">
        <f t="shared" si="6"/>
        <v>3863141.9688718962</v>
      </c>
      <c r="AD32" s="366">
        <f t="shared" si="6"/>
        <v>3863141.9688718962</v>
      </c>
      <c r="AE32" s="366">
        <f t="shared" si="6"/>
        <v>4056299.0673154909</v>
      </c>
      <c r="AF32" s="366">
        <f t="shared" si="6"/>
        <v>4056299.0673154909</v>
      </c>
      <c r="AG32" s="366">
        <f t="shared" si="6"/>
        <v>4259114.0206812657</v>
      </c>
    </row>
    <row r="33" spans="1:34" s="240" customFormat="1">
      <c r="B33" s="240" t="s">
        <v>9</v>
      </c>
      <c r="C33" s="365"/>
      <c r="D33" s="366">
        <f>(사업개요!$I$23+사업개요!O20)*(1-사업개요!$I$25)</f>
        <v>2151142</v>
      </c>
      <c r="E33" s="366">
        <f>(E4-D4)*E32*사업개요!$I$25</f>
        <v>0</v>
      </c>
      <c r="F33" s="366">
        <f>(F4-E4)*F32*사업개요!$I$25</f>
        <v>107557.1</v>
      </c>
      <c r="G33" s="366">
        <f>(G4-F4)*G32*사업개요!$I$25</f>
        <v>0</v>
      </c>
      <c r="H33" s="366">
        <f>(H4-G4)*H32*사업개요!$I$25</f>
        <v>112934.95500000002</v>
      </c>
      <c r="I33" s="366">
        <f>(I4-H4)*I32*사업개요!$I$25</f>
        <v>0</v>
      </c>
      <c r="J33" s="366">
        <f>(J4-I4)*J32*사업개요!$I$25</f>
        <v>118581.70275000001</v>
      </c>
      <c r="K33" s="366">
        <f>(K4-J4)*K32*사업개요!$I$25</f>
        <v>0</v>
      </c>
      <c r="L33" s="366">
        <f>(L4-K4)*L32*사업개요!$I$25</f>
        <v>124510.78788750002</v>
      </c>
      <c r="M33" s="366">
        <f>(M4-L4)*M32*사업개요!$I$25</f>
        <v>0</v>
      </c>
      <c r="N33" s="366">
        <f>(N4-M4)*N32*사업개요!$I$25</f>
        <v>130736.32728187503</v>
      </c>
      <c r="O33" s="366">
        <f>(O4-N4)*O32*사업개요!$I$25</f>
        <v>0</v>
      </c>
      <c r="P33" s="366">
        <f>(P4-O4)*P32*사업개요!$I$25</f>
        <v>137273.14364596878</v>
      </c>
      <c r="Q33" s="366">
        <f>(Q4-P4)*Q32*사업개요!$I$25</f>
        <v>0</v>
      </c>
      <c r="R33" s="366">
        <f>(R4-Q4)*R32*사업개요!$I$25</f>
        <v>144136.80082826721</v>
      </c>
      <c r="S33" s="366">
        <f>(S4-R4)*S32*사업개요!$I$25</f>
        <v>0</v>
      </c>
      <c r="T33" s="366">
        <f>(T4-S4)*T32*사업개요!$I$25</f>
        <v>151343.64086968059</v>
      </c>
      <c r="U33" s="366">
        <f>(U4-T4)*U32*사업개요!$I$25</f>
        <v>0</v>
      </c>
      <c r="V33" s="366">
        <f>(V4-U4)*V32*사업개요!$I$25</f>
        <v>158910.82291316462</v>
      </c>
      <c r="W33" s="366">
        <f>(W4-V4)*W32*사업개요!$I$25</f>
        <v>0</v>
      </c>
      <c r="X33" s="366">
        <f>(X4-W4)*X32*사업개요!$I$25</f>
        <v>166856.36405882286</v>
      </c>
      <c r="Y33" s="366">
        <f>(Y4-X4)*Y32*사업개요!$I$25</f>
        <v>0</v>
      </c>
      <c r="Z33" s="366">
        <f>(Z4-Y4)*Z32*사업개요!$I$25</f>
        <v>175199.18226176401</v>
      </c>
      <c r="AA33" s="366">
        <f>(AA4-Z4)*AA32*사업개요!$I$25</f>
        <v>0</v>
      </c>
      <c r="AB33" s="366">
        <f>(AB4-AA4)*AB32*사업개요!$I$25</f>
        <v>183959.14137485222</v>
      </c>
      <c r="AC33" s="366">
        <f>(AC4-AB4)*AC32*사업개요!$I$25</f>
        <v>0</v>
      </c>
      <c r="AD33" s="366">
        <f>(AD4-AC4)*AD32*사업개요!$I$25</f>
        <v>193157.09844359482</v>
      </c>
      <c r="AE33" s="366">
        <f>(AE4-AD4)*AE32*사업개요!$I$25</f>
        <v>0</v>
      </c>
      <c r="AF33" s="366">
        <f>(AF4-AE4)*AF32*사업개요!$I$25</f>
        <v>202814.95336577456</v>
      </c>
      <c r="AG33" s="366">
        <f>(AG4-AF4)*AG32*사업개요!$I$25</f>
        <v>0</v>
      </c>
    </row>
    <row r="34" spans="1:34" s="240" customFormat="1">
      <c r="B34" s="240" t="s">
        <v>8</v>
      </c>
      <c r="C34" s="366"/>
      <c r="D34" s="366">
        <f>D32+D33</f>
        <v>2151142</v>
      </c>
      <c r="E34" s="366">
        <f t="shared" ref="E34:AG34" si="7">E32+E33</f>
        <v>2151142</v>
      </c>
      <c r="F34" s="366">
        <f t="shared" si="7"/>
        <v>2258699.1</v>
      </c>
      <c r="G34" s="366">
        <f t="shared" si="7"/>
        <v>2258699.1</v>
      </c>
      <c r="H34" s="366">
        <f t="shared" si="7"/>
        <v>2371634.0550000002</v>
      </c>
      <c r="I34" s="366">
        <f t="shared" si="7"/>
        <v>2371634.0550000002</v>
      </c>
      <c r="J34" s="366">
        <f t="shared" si="7"/>
        <v>2490215.7577500003</v>
      </c>
      <c r="K34" s="366">
        <f t="shared" si="7"/>
        <v>2490215.7577500003</v>
      </c>
      <c r="L34" s="366">
        <f t="shared" si="7"/>
        <v>2614726.5456375005</v>
      </c>
      <c r="M34" s="366">
        <f t="shared" si="7"/>
        <v>2614726.5456375005</v>
      </c>
      <c r="N34" s="366">
        <f t="shared" si="7"/>
        <v>2745462.8729193755</v>
      </c>
      <c r="O34" s="366">
        <f t="shared" si="7"/>
        <v>2745462.8729193755</v>
      </c>
      <c r="P34" s="366">
        <f t="shared" si="7"/>
        <v>2882736.0165653443</v>
      </c>
      <c r="Q34" s="366">
        <f t="shared" si="7"/>
        <v>2882736.0165653443</v>
      </c>
      <c r="R34" s="366">
        <f t="shared" si="7"/>
        <v>3026872.8173936117</v>
      </c>
      <c r="S34" s="366">
        <f t="shared" si="7"/>
        <v>3026872.8173936117</v>
      </c>
      <c r="T34" s="366">
        <f t="shared" si="7"/>
        <v>3178216.4582632924</v>
      </c>
      <c r="U34" s="366">
        <f t="shared" si="7"/>
        <v>3178216.4582632924</v>
      </c>
      <c r="V34" s="366">
        <f t="shared" si="7"/>
        <v>3337127.2811764572</v>
      </c>
      <c r="W34" s="366">
        <f t="shared" si="7"/>
        <v>3337127.2811764572</v>
      </c>
      <c r="X34" s="366">
        <f t="shared" si="7"/>
        <v>3503983.64523528</v>
      </c>
      <c r="Y34" s="366">
        <f t="shared" si="7"/>
        <v>3503983.64523528</v>
      </c>
      <c r="Z34" s="366">
        <f t="shared" si="7"/>
        <v>3679182.8274970441</v>
      </c>
      <c r="AA34" s="366">
        <f t="shared" si="7"/>
        <v>3679182.8274970441</v>
      </c>
      <c r="AB34" s="366">
        <f t="shared" si="7"/>
        <v>3863141.9688718962</v>
      </c>
      <c r="AC34" s="366">
        <f t="shared" si="7"/>
        <v>3863141.9688718962</v>
      </c>
      <c r="AD34" s="366">
        <f t="shared" si="7"/>
        <v>4056299.0673154909</v>
      </c>
      <c r="AE34" s="366">
        <f t="shared" si="7"/>
        <v>4056299.0673154909</v>
      </c>
      <c r="AF34" s="366">
        <f t="shared" si="7"/>
        <v>4259114.0206812657</v>
      </c>
      <c r="AG34" s="366">
        <f t="shared" si="7"/>
        <v>4259114.0206812657</v>
      </c>
    </row>
    <row r="35" spans="1:34" s="240" customFormat="1"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</row>
    <row r="36" spans="1:34" s="377" customFormat="1">
      <c r="A36" s="377" t="s">
        <v>140</v>
      </c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</row>
    <row r="37" spans="1:34" s="394" customFormat="1"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62">
        <f>사업개요!$O$9</f>
        <v>4369296.9980000006</v>
      </c>
    </row>
    <row r="38" spans="1:34" s="394" customFormat="1"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</row>
    <row r="39" spans="1:34" s="394" customFormat="1">
      <c r="A39" s="393" t="s">
        <v>22</v>
      </c>
      <c r="B39" s="393"/>
      <c r="C39" s="408"/>
      <c r="D39" s="408">
        <f>D29+D33+D37</f>
        <v>2182059.9298192421</v>
      </c>
      <c r="E39" s="408">
        <f t="shared" ref="E39:AF39" ca="1" si="8">E29+E33+E37</f>
        <v>48500.643989608769</v>
      </c>
      <c r="F39" s="408">
        <f t="shared" ca="1" si="8"/>
        <v>163140.14815999047</v>
      </c>
      <c r="G39" s="408">
        <f t="shared" ca="1" si="8"/>
        <v>56376.787610789586</v>
      </c>
      <c r="H39" s="408">
        <f t="shared" ca="1" si="8"/>
        <v>176763.20736170403</v>
      </c>
      <c r="I39" s="408">
        <f t="shared" ca="1" si="8"/>
        <v>58136.391688456657</v>
      </c>
      <c r="J39" s="408">
        <f t="shared" ca="1" si="8"/>
        <v>184557.30488696386</v>
      </c>
      <c r="K39" s="408">
        <f t="shared" ca="1" si="8"/>
        <v>66691.161112600326</v>
      </c>
      <c r="L39" s="408">
        <f t="shared" ca="1" si="8"/>
        <v>199448.52766283127</v>
      </c>
      <c r="M39" s="408">
        <f t="shared" ca="1" si="8"/>
        <v>75611.3010167639</v>
      </c>
      <c r="N39" s="408">
        <f t="shared" ca="1" si="8"/>
        <v>202623.24337441154</v>
      </c>
      <c r="O39" s="408">
        <f t="shared" ca="1" si="8"/>
        <v>72516.412816036958</v>
      </c>
      <c r="P39" s="408">
        <f t="shared" ca="1" si="8"/>
        <v>218913.72566067084</v>
      </c>
      <c r="Q39" s="408">
        <f t="shared" ca="1" si="8"/>
        <v>82223.845097893136</v>
      </c>
      <c r="R39" s="408">
        <f t="shared" ca="1" si="8"/>
        <v>237388.51717040152</v>
      </c>
      <c r="S39" s="408">
        <f t="shared" ca="1" si="8"/>
        <v>111863.621794212</v>
      </c>
      <c r="T39" s="408">
        <f t="shared" ca="1" si="8"/>
        <v>273212.34541026538</v>
      </c>
      <c r="U39" s="408">
        <f t="shared" ca="1" si="8"/>
        <v>120775.13990310955</v>
      </c>
      <c r="V39" s="408">
        <f t="shared" ca="1" si="8"/>
        <v>290212.31429799309</v>
      </c>
      <c r="W39" s="408">
        <f t="shared" ca="1" si="8"/>
        <v>130154.51956136146</v>
      </c>
      <c r="X39" s="408">
        <f t="shared" ca="1" si="8"/>
        <v>302133.33196222759</v>
      </c>
      <c r="Y39" s="408">
        <f t="shared" ca="1" si="8"/>
        <v>134073.95695200827</v>
      </c>
      <c r="Z39" s="408">
        <f t="shared" ca="1" si="8"/>
        <v>320922.30365127965</v>
      </c>
      <c r="AA39" s="408">
        <f t="shared" ca="1" si="8"/>
        <v>144461.30893231975</v>
      </c>
      <c r="AB39" s="408">
        <f t="shared" ca="1" si="8"/>
        <v>340673.86393714836</v>
      </c>
      <c r="AC39" s="408">
        <f t="shared" ca="1" si="8"/>
        <v>145968.01593255147</v>
      </c>
      <c r="AD39" s="408">
        <f t="shared" ca="1" si="8"/>
        <v>352013.25568324985</v>
      </c>
      <c r="AE39" s="408">
        <f t="shared" ca="1" si="8"/>
        <v>157467.90013674568</v>
      </c>
      <c r="AF39" s="408">
        <f t="shared" ca="1" si="8"/>
        <v>373837.7286175706</v>
      </c>
      <c r="AG39" s="408">
        <f ca="1">AG29+AG33+AG37</f>
        <v>4571880.9360618843</v>
      </c>
    </row>
    <row r="40" spans="1:34" s="401" customFormat="1">
      <c r="A40" s="379" t="s">
        <v>130</v>
      </c>
      <c r="B40" s="379"/>
      <c r="C40" s="379"/>
      <c r="D40" s="380">
        <f t="shared" ref="D40:AG40" si="9">D34*10%</f>
        <v>215114.2</v>
      </c>
      <c r="E40" s="380">
        <f t="shared" si="9"/>
        <v>215114.2</v>
      </c>
      <c r="F40" s="380">
        <f t="shared" si="9"/>
        <v>225869.91000000003</v>
      </c>
      <c r="G40" s="380">
        <f t="shared" si="9"/>
        <v>225869.91000000003</v>
      </c>
      <c r="H40" s="380">
        <f t="shared" si="9"/>
        <v>237163.40550000002</v>
      </c>
      <c r="I40" s="380">
        <f t="shared" si="9"/>
        <v>237163.40550000002</v>
      </c>
      <c r="J40" s="380">
        <f t="shared" si="9"/>
        <v>249021.57577500003</v>
      </c>
      <c r="K40" s="380">
        <f t="shared" si="9"/>
        <v>249021.57577500003</v>
      </c>
      <c r="L40" s="380">
        <f t="shared" si="9"/>
        <v>261472.65456375005</v>
      </c>
      <c r="M40" s="380">
        <f t="shared" si="9"/>
        <v>261472.65456375005</v>
      </c>
      <c r="N40" s="380">
        <f t="shared" si="9"/>
        <v>274546.28729193757</v>
      </c>
      <c r="O40" s="380">
        <f t="shared" si="9"/>
        <v>274546.28729193757</v>
      </c>
      <c r="P40" s="380">
        <f t="shared" si="9"/>
        <v>288273.60165653442</v>
      </c>
      <c r="Q40" s="380">
        <f t="shared" si="9"/>
        <v>288273.60165653442</v>
      </c>
      <c r="R40" s="380">
        <f t="shared" si="9"/>
        <v>302687.28173936118</v>
      </c>
      <c r="S40" s="380">
        <f t="shared" si="9"/>
        <v>302687.28173936118</v>
      </c>
      <c r="T40" s="380">
        <f t="shared" si="9"/>
        <v>317821.64582632924</v>
      </c>
      <c r="U40" s="380">
        <f t="shared" si="9"/>
        <v>317821.64582632924</v>
      </c>
      <c r="V40" s="380">
        <f t="shared" si="9"/>
        <v>333712.72811764572</v>
      </c>
      <c r="W40" s="380">
        <f t="shared" si="9"/>
        <v>333712.72811764572</v>
      </c>
      <c r="X40" s="380">
        <f t="shared" si="9"/>
        <v>350398.36452352803</v>
      </c>
      <c r="Y40" s="380">
        <f t="shared" si="9"/>
        <v>350398.36452352803</v>
      </c>
      <c r="Z40" s="380">
        <f t="shared" si="9"/>
        <v>367918.28274970443</v>
      </c>
      <c r="AA40" s="380">
        <f t="shared" si="9"/>
        <v>367918.28274970443</v>
      </c>
      <c r="AB40" s="380">
        <f t="shared" si="9"/>
        <v>386314.19688718964</v>
      </c>
      <c r="AC40" s="380">
        <f t="shared" si="9"/>
        <v>386314.19688718964</v>
      </c>
      <c r="AD40" s="380">
        <f t="shared" si="9"/>
        <v>405629.90673154913</v>
      </c>
      <c r="AE40" s="380">
        <f t="shared" si="9"/>
        <v>405629.90673154913</v>
      </c>
      <c r="AF40" s="380">
        <f t="shared" si="9"/>
        <v>425911.4020681266</v>
      </c>
      <c r="AG40" s="380">
        <f t="shared" si="9"/>
        <v>425911.4020681266</v>
      </c>
    </row>
    <row r="41" spans="1:34" s="401" customFormat="1">
      <c r="A41" s="379" t="s">
        <v>133</v>
      </c>
      <c r="B41" s="379"/>
      <c r="C41" s="381"/>
      <c r="D41" s="381">
        <f t="shared" ref="D41:AG41" si="10">MAX(C49+D39-D40,0)</f>
        <v>1966945.7298192421</v>
      </c>
      <c r="E41" s="381">
        <f t="shared" ca="1" si="10"/>
        <v>48500.643989608681</v>
      </c>
      <c r="F41" s="381">
        <f t="shared" ca="1" si="10"/>
        <v>152384.43815999047</v>
      </c>
      <c r="G41" s="381">
        <f t="shared" ca="1" si="10"/>
        <v>56376.787610789586</v>
      </c>
      <c r="H41" s="381">
        <f t="shared" ca="1" si="10"/>
        <v>165469.71186170404</v>
      </c>
      <c r="I41" s="381">
        <f t="shared" ca="1" si="10"/>
        <v>58136.391688456672</v>
      </c>
      <c r="J41" s="381">
        <f t="shared" ca="1" si="10"/>
        <v>172699.13461196388</v>
      </c>
      <c r="K41" s="381">
        <f t="shared" ca="1" si="10"/>
        <v>66691.161112600355</v>
      </c>
      <c r="L41" s="381">
        <f t="shared" ca="1" si="10"/>
        <v>186997.44887408122</v>
      </c>
      <c r="M41" s="381">
        <f t="shared" ca="1" si="10"/>
        <v>75611.301016763871</v>
      </c>
      <c r="N41" s="381">
        <f t="shared" ca="1" si="10"/>
        <v>189549.61064622406</v>
      </c>
      <c r="O41" s="381">
        <f t="shared" ca="1" si="10"/>
        <v>72516.412816036958</v>
      </c>
      <c r="P41" s="381">
        <f t="shared" ca="1" si="10"/>
        <v>205186.41129607399</v>
      </c>
      <c r="Q41" s="381">
        <f t="shared" ca="1" si="10"/>
        <v>82223.845097893151</v>
      </c>
      <c r="R41" s="381">
        <f t="shared" ca="1" si="10"/>
        <v>222974.83708757482</v>
      </c>
      <c r="S41" s="381">
        <f t="shared" ca="1" si="10"/>
        <v>111863.62179421197</v>
      </c>
      <c r="T41" s="381">
        <f t="shared" ca="1" si="10"/>
        <v>258077.98132329737</v>
      </c>
      <c r="U41" s="381">
        <f t="shared" ca="1" si="10"/>
        <v>120775.13990310952</v>
      </c>
      <c r="V41" s="381">
        <f t="shared" ca="1" si="10"/>
        <v>274321.23200667661</v>
      </c>
      <c r="W41" s="381">
        <f t="shared" ca="1" si="10"/>
        <v>130154.51956136146</v>
      </c>
      <c r="X41" s="381">
        <f t="shared" ca="1" si="10"/>
        <v>285447.69555634528</v>
      </c>
      <c r="Y41" s="381">
        <f t="shared" ca="1" si="10"/>
        <v>134073.9569520083</v>
      </c>
      <c r="Z41" s="381">
        <f t="shared" ca="1" si="10"/>
        <v>303402.38542510325</v>
      </c>
      <c r="AA41" s="381">
        <f t="shared" ca="1" si="10"/>
        <v>144461.30893231975</v>
      </c>
      <c r="AB41" s="381">
        <f t="shared" ca="1" si="10"/>
        <v>322277.94979966315</v>
      </c>
      <c r="AC41" s="381">
        <f t="shared" ca="1" si="10"/>
        <v>145968.01593255147</v>
      </c>
      <c r="AD41" s="381">
        <f t="shared" ca="1" si="10"/>
        <v>332697.54583889042</v>
      </c>
      <c r="AE41" s="381">
        <f t="shared" ca="1" si="10"/>
        <v>157467.90013674571</v>
      </c>
      <c r="AF41" s="381">
        <f t="shared" ca="1" si="10"/>
        <v>353556.23328099318</v>
      </c>
      <c r="AG41" s="381">
        <f t="shared" ca="1" si="10"/>
        <v>4571880.9360618843</v>
      </c>
    </row>
    <row r="42" spans="1:34" s="402" customFormat="1"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</row>
    <row r="43" spans="1:34" s="383" customFormat="1">
      <c r="A43" s="383" t="s">
        <v>138</v>
      </c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</row>
    <row r="44" spans="1:34" s="369" customFormat="1">
      <c r="A44" s="369" t="s">
        <v>134</v>
      </c>
      <c r="D44" s="385">
        <f>D55</f>
        <v>869770.77567130653</v>
      </c>
      <c r="E44" s="385">
        <f t="shared" ref="E44:AG44" si="11">E55</f>
        <v>0</v>
      </c>
      <c r="F44" s="385">
        <f t="shared" si="11"/>
        <v>86977.077567130647</v>
      </c>
      <c r="G44" s="385">
        <f t="shared" si="11"/>
        <v>0</v>
      </c>
      <c r="H44" s="385">
        <f t="shared" si="11"/>
        <v>86977.077567130647</v>
      </c>
      <c r="I44" s="385">
        <f t="shared" si="11"/>
        <v>0</v>
      </c>
      <c r="J44" s="385">
        <f t="shared" si="11"/>
        <v>86977.077567130647</v>
      </c>
      <c r="K44" s="385">
        <f t="shared" si="11"/>
        <v>0</v>
      </c>
      <c r="L44" s="385">
        <f t="shared" si="11"/>
        <v>86977.077567130647</v>
      </c>
      <c r="M44" s="385">
        <f t="shared" si="11"/>
        <v>0</v>
      </c>
      <c r="N44" s="385">
        <f t="shared" si="11"/>
        <v>86977.077567130647</v>
      </c>
      <c r="O44" s="385">
        <f t="shared" si="11"/>
        <v>0</v>
      </c>
      <c r="P44" s="385">
        <f t="shared" si="11"/>
        <v>86977.077567130647</v>
      </c>
      <c r="Q44" s="385">
        <f t="shared" si="11"/>
        <v>0</v>
      </c>
      <c r="R44" s="385">
        <f t="shared" si="11"/>
        <v>1507602.6778302644</v>
      </c>
      <c r="S44" s="385">
        <f t="shared" si="11"/>
        <v>0</v>
      </c>
      <c r="T44" s="385">
        <f t="shared" si="11"/>
        <v>0</v>
      </c>
      <c r="U44" s="385">
        <f t="shared" si="11"/>
        <v>0</v>
      </c>
      <c r="V44" s="385">
        <f t="shared" si="11"/>
        <v>0</v>
      </c>
      <c r="W44" s="385">
        <f t="shared" si="11"/>
        <v>0</v>
      </c>
      <c r="X44" s="385">
        <f t="shared" si="11"/>
        <v>0</v>
      </c>
      <c r="Y44" s="385">
        <f t="shared" si="11"/>
        <v>0</v>
      </c>
      <c r="Z44" s="385">
        <f t="shared" si="11"/>
        <v>0</v>
      </c>
      <c r="AA44" s="385">
        <f t="shared" si="11"/>
        <v>0</v>
      </c>
      <c r="AB44" s="385">
        <f t="shared" si="11"/>
        <v>0</v>
      </c>
      <c r="AC44" s="385">
        <f t="shared" si="11"/>
        <v>0</v>
      </c>
      <c r="AD44" s="385">
        <f t="shared" si="11"/>
        <v>0</v>
      </c>
      <c r="AE44" s="385">
        <f t="shared" si="11"/>
        <v>0</v>
      </c>
      <c r="AF44" s="385">
        <f t="shared" si="11"/>
        <v>0</v>
      </c>
      <c r="AG44" s="385">
        <f t="shared" si="11"/>
        <v>0</v>
      </c>
    </row>
    <row r="45" spans="1:34" s="397" customFormat="1">
      <c r="A45" s="369" t="s">
        <v>152</v>
      </c>
      <c r="B45" s="369"/>
      <c r="D45" s="385">
        <f>MIN(D59+D60,D41-D44)</f>
        <v>1097174.9541479356</v>
      </c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</row>
    <row r="46" spans="1:34" s="369" customFormat="1">
      <c r="A46" s="369" t="s">
        <v>153</v>
      </c>
      <c r="D46" s="385">
        <f>MIN(D41-D44-D45,MAX(D69-D68,0))</f>
        <v>0</v>
      </c>
      <c r="E46" s="385">
        <f t="shared" ref="E46:AG46" ca="1" si="12">MIN(E41-E44-E45,MAX(E69-E68,0))</f>
        <v>48500.643989608681</v>
      </c>
      <c r="F46" s="385">
        <f t="shared" ca="1" si="12"/>
        <v>65407.360592859826</v>
      </c>
      <c r="G46" s="385">
        <f t="shared" ca="1" si="12"/>
        <v>56376.787610789586</v>
      </c>
      <c r="H46" s="385">
        <f t="shared" ca="1" si="12"/>
        <v>78492.634294573392</v>
      </c>
      <c r="I46" s="385">
        <f t="shared" ca="1" si="12"/>
        <v>58136.391688456672</v>
      </c>
      <c r="J46" s="385">
        <f t="shared" ca="1" si="12"/>
        <v>85722.057044833229</v>
      </c>
      <c r="K46" s="385">
        <f t="shared" ca="1" si="12"/>
        <v>66691.161112600355</v>
      </c>
      <c r="L46" s="385">
        <f t="shared" ca="1" si="12"/>
        <v>100020.37130695058</v>
      </c>
      <c r="M46" s="385">
        <f t="shared" ca="1" si="12"/>
        <v>75611.301016763871</v>
      </c>
      <c r="N46" s="385">
        <f t="shared" ca="1" si="12"/>
        <v>102572.53307909341</v>
      </c>
      <c r="O46" s="385">
        <f t="shared" ca="1" si="12"/>
        <v>72516.412816036958</v>
      </c>
      <c r="P46" s="385">
        <f t="shared" ca="1" si="12"/>
        <v>118209.33372894334</v>
      </c>
      <c r="Q46" s="385">
        <f t="shared" ca="1" si="12"/>
        <v>82223.845097893151</v>
      </c>
      <c r="R46" s="385">
        <f t="shared" ca="1" si="12"/>
        <v>-1284627.8407426896</v>
      </c>
      <c r="S46" s="385">
        <f t="shared" ca="1" si="12"/>
        <v>111863.62179421197</v>
      </c>
      <c r="T46" s="385">
        <f t="shared" ca="1" si="12"/>
        <v>258077.98132329737</v>
      </c>
      <c r="U46" s="385">
        <f t="shared" ca="1" si="12"/>
        <v>120775.13990310952</v>
      </c>
      <c r="V46" s="385">
        <f t="shared" ca="1" si="12"/>
        <v>274321.23200667661</v>
      </c>
      <c r="W46" s="385">
        <f t="shared" ca="1" si="12"/>
        <v>130154.51956136146</v>
      </c>
      <c r="X46" s="385">
        <f t="shared" ca="1" si="12"/>
        <v>285447.69555634528</v>
      </c>
      <c r="Y46" s="385">
        <f t="shared" ca="1" si="12"/>
        <v>134073.9569520083</v>
      </c>
      <c r="Z46" s="385">
        <f t="shared" ca="1" si="12"/>
        <v>303402.38542510325</v>
      </c>
      <c r="AA46" s="385">
        <f t="shared" ca="1" si="12"/>
        <v>144461.30893231975</v>
      </c>
      <c r="AB46" s="385">
        <f t="shared" ca="1" si="12"/>
        <v>322277.94979966315</v>
      </c>
      <c r="AC46" s="385">
        <f t="shared" ca="1" si="12"/>
        <v>145968.01593255147</v>
      </c>
      <c r="AD46" s="385">
        <f t="shared" ca="1" si="12"/>
        <v>332697.54583889042</v>
      </c>
      <c r="AE46" s="385">
        <f t="shared" ca="1" si="12"/>
        <v>157467.90013674571</v>
      </c>
      <c r="AF46" s="385">
        <f t="shared" ca="1" si="12"/>
        <v>353556.23328099318</v>
      </c>
      <c r="AG46" s="385">
        <f t="shared" ca="1" si="12"/>
        <v>0</v>
      </c>
      <c r="AH46" s="386"/>
    </row>
    <row r="47" spans="1:34" s="397" customFormat="1">
      <c r="A47" s="369" t="s">
        <v>135</v>
      </c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385">
        <f>AG34</f>
        <v>4259114.0206812657</v>
      </c>
    </row>
    <row r="48" spans="1:34" s="402" customFormat="1"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5"/>
      <c r="V48" s="405"/>
      <c r="W48" s="405"/>
      <c r="X48" s="405"/>
      <c r="Y48" s="405"/>
      <c r="Z48" s="405"/>
      <c r="AA48" s="405"/>
      <c r="AB48" s="405"/>
      <c r="AC48" s="405"/>
      <c r="AD48" s="405"/>
      <c r="AE48" s="405"/>
      <c r="AF48" s="405"/>
      <c r="AG48" s="405"/>
    </row>
    <row r="49" spans="1:33" s="394" customFormat="1">
      <c r="A49" s="399" t="s">
        <v>23</v>
      </c>
      <c r="B49" s="399"/>
      <c r="C49" s="400">
        <f>C56+C62+C65</f>
        <v>0</v>
      </c>
      <c r="D49" s="400">
        <f t="shared" ref="D49:AG49" si="13">C49+D39-SUM(D44:D47)</f>
        <v>215114.19999999995</v>
      </c>
      <c r="E49" s="400">
        <f t="shared" ca="1" si="13"/>
        <v>215114.2</v>
      </c>
      <c r="F49" s="400">
        <f t="shared" ca="1" si="13"/>
        <v>225869.91000000003</v>
      </c>
      <c r="G49" s="400">
        <f t="shared" ca="1" si="13"/>
        <v>225869.91000000003</v>
      </c>
      <c r="H49" s="400">
        <f t="shared" ca="1" si="13"/>
        <v>237163.40550000002</v>
      </c>
      <c r="I49" s="400">
        <f t="shared" ca="1" si="13"/>
        <v>237163.40550000002</v>
      </c>
      <c r="J49" s="400">
        <f t="shared" ca="1" si="13"/>
        <v>249021.57577500003</v>
      </c>
      <c r="K49" s="400">
        <f t="shared" ca="1" si="13"/>
        <v>249021.57577500003</v>
      </c>
      <c r="L49" s="400">
        <f t="shared" ca="1" si="13"/>
        <v>261472.65456375005</v>
      </c>
      <c r="M49" s="400">
        <f t="shared" ca="1" si="13"/>
        <v>261472.65456375005</v>
      </c>
      <c r="N49" s="400">
        <f t="shared" ca="1" si="13"/>
        <v>274546.28729193757</v>
      </c>
      <c r="O49" s="400">
        <f t="shared" ca="1" si="13"/>
        <v>274546.28729193757</v>
      </c>
      <c r="P49" s="400">
        <f t="shared" ca="1" si="13"/>
        <v>288273.60165653442</v>
      </c>
      <c r="Q49" s="400">
        <f t="shared" ca="1" si="13"/>
        <v>288273.60165653442</v>
      </c>
      <c r="R49" s="400">
        <f t="shared" ca="1" si="13"/>
        <v>302687.28173936112</v>
      </c>
      <c r="S49" s="400">
        <f t="shared" ca="1" si="13"/>
        <v>302687.28173936118</v>
      </c>
      <c r="T49" s="400">
        <f t="shared" ca="1" si="13"/>
        <v>317821.64582632924</v>
      </c>
      <c r="U49" s="400">
        <f t="shared" ca="1" si="13"/>
        <v>317821.64582632924</v>
      </c>
      <c r="V49" s="400">
        <f t="shared" ca="1" si="13"/>
        <v>333712.72811764572</v>
      </c>
      <c r="W49" s="400">
        <f t="shared" ca="1" si="13"/>
        <v>333712.72811764572</v>
      </c>
      <c r="X49" s="400">
        <f t="shared" ca="1" si="13"/>
        <v>350398.36452352803</v>
      </c>
      <c r="Y49" s="400">
        <f t="shared" ca="1" si="13"/>
        <v>350398.36452352803</v>
      </c>
      <c r="Z49" s="400">
        <f t="shared" ca="1" si="13"/>
        <v>367918.28274970443</v>
      </c>
      <c r="AA49" s="400">
        <f t="shared" ca="1" si="13"/>
        <v>367918.28274970443</v>
      </c>
      <c r="AB49" s="400">
        <f t="shared" ca="1" si="13"/>
        <v>386314.19688718964</v>
      </c>
      <c r="AC49" s="400">
        <f t="shared" ca="1" si="13"/>
        <v>386314.19688718964</v>
      </c>
      <c r="AD49" s="400">
        <f t="shared" ca="1" si="13"/>
        <v>405629.90673154913</v>
      </c>
      <c r="AE49" s="400">
        <f t="shared" ca="1" si="13"/>
        <v>405629.90673154913</v>
      </c>
      <c r="AF49" s="400">
        <f t="shared" ca="1" si="13"/>
        <v>425911.4020681266</v>
      </c>
      <c r="AG49" s="400">
        <f t="shared" ca="1" si="13"/>
        <v>738678.31744874548</v>
      </c>
    </row>
    <row r="50" spans="1:33" s="394" customFormat="1"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</row>
    <row r="51" spans="1:33" s="240" customFormat="1">
      <c r="A51" s="387" t="s">
        <v>144</v>
      </c>
      <c r="B51" s="387"/>
      <c r="C51" s="387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8"/>
      <c r="AD51" s="388"/>
      <c r="AE51" s="388"/>
      <c r="AF51" s="388"/>
      <c r="AG51" s="388"/>
    </row>
    <row r="52" spans="1:33" s="240" customFormat="1">
      <c r="A52" s="389" t="s">
        <v>3</v>
      </c>
      <c r="B52" s="389"/>
      <c r="C52" s="389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</row>
    <row r="53" spans="1:33" s="240" customFormat="1">
      <c r="B53" s="240" t="str">
        <f>B32</f>
        <v>기초</v>
      </c>
      <c r="C53" s="365">
        <v>0</v>
      </c>
      <c r="D53" s="366">
        <f>C56</f>
        <v>2899235.9189043553</v>
      </c>
      <c r="E53" s="366">
        <f t="shared" ref="E53:AG53" si="14">D56</f>
        <v>2029465.1432330487</v>
      </c>
      <c r="F53" s="366">
        <f t="shared" si="14"/>
        <v>2029465.1432330487</v>
      </c>
      <c r="G53" s="366">
        <f t="shared" si="14"/>
        <v>1942488.0656659182</v>
      </c>
      <c r="H53" s="366">
        <f t="shared" si="14"/>
        <v>1942488.0656659182</v>
      </c>
      <c r="I53" s="366">
        <f t="shared" si="14"/>
        <v>1855510.9880987876</v>
      </c>
      <c r="J53" s="366">
        <f t="shared" si="14"/>
        <v>1855510.9880987876</v>
      </c>
      <c r="K53" s="366">
        <f t="shared" si="14"/>
        <v>1768533.910531657</v>
      </c>
      <c r="L53" s="366">
        <f t="shared" si="14"/>
        <v>1768533.910531657</v>
      </c>
      <c r="M53" s="366">
        <f t="shared" si="14"/>
        <v>1681556.8329645265</v>
      </c>
      <c r="N53" s="366">
        <f t="shared" si="14"/>
        <v>1681556.8329645265</v>
      </c>
      <c r="O53" s="366">
        <f t="shared" si="14"/>
        <v>1594579.7553973959</v>
      </c>
      <c r="P53" s="366">
        <f t="shared" si="14"/>
        <v>1594579.7553973959</v>
      </c>
      <c r="Q53" s="366">
        <f t="shared" si="14"/>
        <v>1507602.6778302654</v>
      </c>
      <c r="R53" s="366">
        <f t="shared" si="14"/>
        <v>1507602.6778302654</v>
      </c>
      <c r="S53" s="366">
        <f t="shared" si="14"/>
        <v>0</v>
      </c>
      <c r="T53" s="366">
        <f t="shared" si="14"/>
        <v>0</v>
      </c>
      <c r="U53" s="366">
        <f t="shared" si="14"/>
        <v>0</v>
      </c>
      <c r="V53" s="366">
        <f t="shared" si="14"/>
        <v>0</v>
      </c>
      <c r="W53" s="366">
        <f t="shared" si="14"/>
        <v>0</v>
      </c>
      <c r="X53" s="366">
        <f t="shared" si="14"/>
        <v>0</v>
      </c>
      <c r="Y53" s="366">
        <f t="shared" si="14"/>
        <v>0</v>
      </c>
      <c r="Z53" s="366">
        <f t="shared" si="14"/>
        <v>0</v>
      </c>
      <c r="AA53" s="366">
        <f t="shared" si="14"/>
        <v>0</v>
      </c>
      <c r="AB53" s="366">
        <f t="shared" si="14"/>
        <v>0</v>
      </c>
      <c r="AC53" s="366">
        <f t="shared" si="14"/>
        <v>0</v>
      </c>
      <c r="AD53" s="366">
        <f t="shared" si="14"/>
        <v>0</v>
      </c>
      <c r="AE53" s="366">
        <f t="shared" si="14"/>
        <v>0</v>
      </c>
      <c r="AF53" s="366">
        <f t="shared" si="14"/>
        <v>0</v>
      </c>
      <c r="AG53" s="366">
        <f t="shared" si="14"/>
        <v>0</v>
      </c>
    </row>
    <row r="54" spans="1:33" s="240" customFormat="1">
      <c r="B54" s="240" t="str">
        <f>B33</f>
        <v>당기증가</v>
      </c>
      <c r="C54" s="365">
        <f>사업개요!$C$24</f>
        <v>2899235.9189043553</v>
      </c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</row>
    <row r="55" spans="1:33" s="240" customFormat="1">
      <c r="B55" s="240" t="s">
        <v>136</v>
      </c>
      <c r="C55" s="366"/>
      <c r="D55" s="382">
        <f>사업개요!$C$24*캐시플로우!D5</f>
        <v>869770.77567130653</v>
      </c>
      <c r="E55" s="382">
        <f>사업개요!$C$24*캐시플로우!E5</f>
        <v>0</v>
      </c>
      <c r="F55" s="382">
        <f>사업개요!$C$24*캐시플로우!F5</f>
        <v>86977.077567130647</v>
      </c>
      <c r="G55" s="382">
        <f>사업개요!$C$24*캐시플로우!G5</f>
        <v>0</v>
      </c>
      <c r="H55" s="382">
        <f>사업개요!$C$24*캐시플로우!H5</f>
        <v>86977.077567130647</v>
      </c>
      <c r="I55" s="382">
        <f>사업개요!$C$24*캐시플로우!I5</f>
        <v>0</v>
      </c>
      <c r="J55" s="382">
        <f>사업개요!$C$24*캐시플로우!J5</f>
        <v>86977.077567130647</v>
      </c>
      <c r="K55" s="382">
        <f>사업개요!$C$24*캐시플로우!K5</f>
        <v>0</v>
      </c>
      <c r="L55" s="382">
        <f>사업개요!$C$24*캐시플로우!L5</f>
        <v>86977.077567130647</v>
      </c>
      <c r="M55" s="382">
        <f>사업개요!$C$24*캐시플로우!M5</f>
        <v>0</v>
      </c>
      <c r="N55" s="382">
        <f>사업개요!$C$24*캐시플로우!N5</f>
        <v>86977.077567130647</v>
      </c>
      <c r="O55" s="382">
        <f>사업개요!$C$24*캐시플로우!O5</f>
        <v>0</v>
      </c>
      <c r="P55" s="382">
        <f>사업개요!$C$24*캐시플로우!P5</f>
        <v>86977.077567130647</v>
      </c>
      <c r="Q55" s="382">
        <f>사업개요!$C$24*캐시플로우!Q5</f>
        <v>0</v>
      </c>
      <c r="R55" s="382">
        <f>사업개요!$C$24*캐시플로우!R5</f>
        <v>1507602.6778302644</v>
      </c>
      <c r="S55" s="382">
        <f>사업개요!$C$24*캐시플로우!S5</f>
        <v>0</v>
      </c>
      <c r="T55" s="382">
        <f>사업개요!$C$24*캐시플로우!T5</f>
        <v>0</v>
      </c>
      <c r="U55" s="382">
        <f>사업개요!$C$24*캐시플로우!U5</f>
        <v>0</v>
      </c>
      <c r="V55" s="382">
        <f>사업개요!$C$24*캐시플로우!V5</f>
        <v>0</v>
      </c>
      <c r="W55" s="382">
        <f>사업개요!$C$24*캐시플로우!W5</f>
        <v>0</v>
      </c>
      <c r="X55" s="382">
        <f>사업개요!$C$24*캐시플로우!X5</f>
        <v>0</v>
      </c>
      <c r="Y55" s="382">
        <f>사업개요!$C$24*캐시플로우!Y5</f>
        <v>0</v>
      </c>
      <c r="Z55" s="382">
        <f>사업개요!$C$24*캐시플로우!Z5</f>
        <v>0</v>
      </c>
      <c r="AA55" s="382">
        <f>사업개요!$C$24*캐시플로우!AA5</f>
        <v>0</v>
      </c>
      <c r="AB55" s="382">
        <f>사업개요!$C$24*캐시플로우!AB5</f>
        <v>0</v>
      </c>
      <c r="AC55" s="382">
        <f>사업개요!$C$24*캐시플로우!AC5</f>
        <v>0</v>
      </c>
      <c r="AD55" s="382">
        <f>사업개요!$C$24*캐시플로우!AD5</f>
        <v>0</v>
      </c>
      <c r="AE55" s="382">
        <f>사업개요!$C$24*캐시플로우!AE5</f>
        <v>0</v>
      </c>
      <c r="AF55" s="382">
        <f>사업개요!$C$24*캐시플로우!AF5</f>
        <v>0</v>
      </c>
      <c r="AG55" s="382">
        <f>사업개요!$C$24*캐시플로우!AG5</f>
        <v>0</v>
      </c>
    </row>
    <row r="56" spans="1:33" s="240" customFormat="1">
      <c r="B56" s="240" t="str">
        <f>B34</f>
        <v>기말</v>
      </c>
      <c r="C56" s="365">
        <f>C53+C54-C55</f>
        <v>2899235.9189043553</v>
      </c>
      <c r="D56" s="365">
        <f t="shared" ref="D56:AG56" si="15">D53+D54-D55</f>
        <v>2029465.1432330487</v>
      </c>
      <c r="E56" s="365">
        <f t="shared" si="15"/>
        <v>2029465.1432330487</v>
      </c>
      <c r="F56" s="365">
        <f t="shared" si="15"/>
        <v>1942488.0656659182</v>
      </c>
      <c r="G56" s="365">
        <f t="shared" si="15"/>
        <v>1942488.0656659182</v>
      </c>
      <c r="H56" s="365">
        <f t="shared" si="15"/>
        <v>1855510.9880987876</v>
      </c>
      <c r="I56" s="365">
        <f t="shared" si="15"/>
        <v>1855510.9880987876</v>
      </c>
      <c r="J56" s="365">
        <f t="shared" si="15"/>
        <v>1768533.910531657</v>
      </c>
      <c r="K56" s="365">
        <f t="shared" si="15"/>
        <v>1768533.910531657</v>
      </c>
      <c r="L56" s="365">
        <f t="shared" si="15"/>
        <v>1681556.8329645265</v>
      </c>
      <c r="M56" s="365">
        <f t="shared" si="15"/>
        <v>1681556.8329645265</v>
      </c>
      <c r="N56" s="365">
        <f t="shared" si="15"/>
        <v>1594579.7553973959</v>
      </c>
      <c r="O56" s="365">
        <f t="shared" si="15"/>
        <v>1594579.7553973959</v>
      </c>
      <c r="P56" s="365">
        <f t="shared" si="15"/>
        <v>1507602.6778302654</v>
      </c>
      <c r="Q56" s="365">
        <f t="shared" si="15"/>
        <v>1507602.6778302654</v>
      </c>
      <c r="R56" s="365">
        <f t="shared" si="15"/>
        <v>0</v>
      </c>
      <c r="S56" s="365">
        <f t="shared" si="15"/>
        <v>0</v>
      </c>
      <c r="T56" s="365">
        <f t="shared" si="15"/>
        <v>0</v>
      </c>
      <c r="U56" s="365">
        <f t="shared" si="15"/>
        <v>0</v>
      </c>
      <c r="V56" s="365">
        <f t="shared" si="15"/>
        <v>0</v>
      </c>
      <c r="W56" s="365">
        <f t="shared" si="15"/>
        <v>0</v>
      </c>
      <c r="X56" s="365">
        <f t="shared" si="15"/>
        <v>0</v>
      </c>
      <c r="Y56" s="365">
        <f t="shared" si="15"/>
        <v>0</v>
      </c>
      <c r="Z56" s="365">
        <f t="shared" si="15"/>
        <v>0</v>
      </c>
      <c r="AA56" s="365">
        <f t="shared" si="15"/>
        <v>0</v>
      </c>
      <c r="AB56" s="365">
        <f t="shared" si="15"/>
        <v>0</v>
      </c>
      <c r="AC56" s="365">
        <f t="shared" si="15"/>
        <v>0</v>
      </c>
      <c r="AD56" s="365">
        <f t="shared" si="15"/>
        <v>0</v>
      </c>
      <c r="AE56" s="365">
        <f t="shared" si="15"/>
        <v>0</v>
      </c>
      <c r="AF56" s="365">
        <f t="shared" si="15"/>
        <v>0</v>
      </c>
      <c r="AG56" s="365">
        <f t="shared" si="15"/>
        <v>0</v>
      </c>
    </row>
    <row r="57" spans="1:33" s="240" customFormat="1"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6"/>
    </row>
    <row r="58" spans="1:33" s="240" customFormat="1">
      <c r="A58" s="389" t="s">
        <v>94</v>
      </c>
      <c r="B58" s="389"/>
      <c r="C58" s="389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</row>
    <row r="59" spans="1:33" s="240" customFormat="1">
      <c r="B59" s="240" t="str">
        <f>B53</f>
        <v>기초</v>
      </c>
      <c r="C59" s="365">
        <v>0</v>
      </c>
      <c r="D59" s="366">
        <f>C62</f>
        <v>1635585.8690956454</v>
      </c>
      <c r="E59" s="366">
        <f t="shared" ref="E59:AG59" si="16">D62</f>
        <v>538410.91494770977</v>
      </c>
      <c r="F59" s="366">
        <f t="shared" si="16"/>
        <v>538410.91494770977</v>
      </c>
      <c r="G59" s="366">
        <f t="shared" si="16"/>
        <v>538410.91494770977</v>
      </c>
      <c r="H59" s="366">
        <f t="shared" si="16"/>
        <v>538410.91494770977</v>
      </c>
      <c r="I59" s="366">
        <f t="shared" si="16"/>
        <v>538410.91494770977</v>
      </c>
      <c r="J59" s="366">
        <f t="shared" si="16"/>
        <v>538410.91494770977</v>
      </c>
      <c r="K59" s="366">
        <f t="shared" si="16"/>
        <v>538410.91494770977</v>
      </c>
      <c r="L59" s="366">
        <f t="shared" si="16"/>
        <v>538410.91494770977</v>
      </c>
      <c r="M59" s="366">
        <f t="shared" si="16"/>
        <v>538410.91494770977</v>
      </c>
      <c r="N59" s="366">
        <f t="shared" si="16"/>
        <v>538410.91494770977</v>
      </c>
      <c r="O59" s="366">
        <f t="shared" si="16"/>
        <v>538410.91494770977</v>
      </c>
      <c r="P59" s="366">
        <f t="shared" si="16"/>
        <v>538410.91494770977</v>
      </c>
      <c r="Q59" s="366">
        <f t="shared" si="16"/>
        <v>538410.91494770977</v>
      </c>
      <c r="R59" s="366">
        <f t="shared" si="16"/>
        <v>538410.91494770977</v>
      </c>
      <c r="S59" s="366">
        <f t="shared" si="16"/>
        <v>538410.91494770977</v>
      </c>
      <c r="T59" s="366">
        <f t="shared" si="16"/>
        <v>538410.91494770977</v>
      </c>
      <c r="U59" s="366">
        <f t="shared" si="16"/>
        <v>538410.91494770977</v>
      </c>
      <c r="V59" s="366">
        <f t="shared" si="16"/>
        <v>538410.91494770977</v>
      </c>
      <c r="W59" s="366">
        <f t="shared" si="16"/>
        <v>538410.91494770977</v>
      </c>
      <c r="X59" s="366">
        <f t="shared" si="16"/>
        <v>538410.91494770977</v>
      </c>
      <c r="Y59" s="366">
        <f t="shared" si="16"/>
        <v>538410.91494770977</v>
      </c>
      <c r="Z59" s="366">
        <f t="shared" si="16"/>
        <v>538410.91494770977</v>
      </c>
      <c r="AA59" s="366">
        <f t="shared" si="16"/>
        <v>538410.91494770977</v>
      </c>
      <c r="AB59" s="366">
        <f t="shared" si="16"/>
        <v>538410.91494770977</v>
      </c>
      <c r="AC59" s="366">
        <f t="shared" si="16"/>
        <v>538410.91494770977</v>
      </c>
      <c r="AD59" s="366">
        <f t="shared" si="16"/>
        <v>538410.91494770977</v>
      </c>
      <c r="AE59" s="366">
        <f t="shared" si="16"/>
        <v>538410.91494770977</v>
      </c>
      <c r="AF59" s="366">
        <f t="shared" si="16"/>
        <v>538410.91494770977</v>
      </c>
      <c r="AG59" s="366">
        <f t="shared" si="16"/>
        <v>538410.91494770977</v>
      </c>
    </row>
    <row r="60" spans="1:33" s="240" customFormat="1">
      <c r="B60" s="240" t="str">
        <f>B54</f>
        <v>당기증가</v>
      </c>
      <c r="C60" s="365">
        <f>사업개요!$C$18+사업개요!C20</f>
        <v>1635585.8690956454</v>
      </c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</row>
    <row r="61" spans="1:33" s="240" customFormat="1">
      <c r="B61" s="240" t="s">
        <v>136</v>
      </c>
      <c r="C61" s="366"/>
      <c r="D61" s="382">
        <f t="shared" ref="D61:AG61" si="17">D45</f>
        <v>1097174.9541479356</v>
      </c>
      <c r="E61" s="382">
        <f t="shared" si="17"/>
        <v>0</v>
      </c>
      <c r="F61" s="382">
        <f t="shared" si="17"/>
        <v>0</v>
      </c>
      <c r="G61" s="382">
        <f t="shared" si="17"/>
        <v>0</v>
      </c>
      <c r="H61" s="382">
        <f t="shared" si="17"/>
        <v>0</v>
      </c>
      <c r="I61" s="382">
        <f t="shared" si="17"/>
        <v>0</v>
      </c>
      <c r="J61" s="382">
        <f t="shared" si="17"/>
        <v>0</v>
      </c>
      <c r="K61" s="382">
        <f t="shared" si="17"/>
        <v>0</v>
      </c>
      <c r="L61" s="382">
        <f t="shared" si="17"/>
        <v>0</v>
      </c>
      <c r="M61" s="382">
        <f t="shared" si="17"/>
        <v>0</v>
      </c>
      <c r="N61" s="382">
        <f t="shared" si="17"/>
        <v>0</v>
      </c>
      <c r="O61" s="382">
        <f t="shared" si="17"/>
        <v>0</v>
      </c>
      <c r="P61" s="382">
        <f t="shared" si="17"/>
        <v>0</v>
      </c>
      <c r="Q61" s="382">
        <f t="shared" si="17"/>
        <v>0</v>
      </c>
      <c r="R61" s="382">
        <f t="shared" si="17"/>
        <v>0</v>
      </c>
      <c r="S61" s="382">
        <f t="shared" si="17"/>
        <v>0</v>
      </c>
      <c r="T61" s="382">
        <f t="shared" si="17"/>
        <v>0</v>
      </c>
      <c r="U61" s="382">
        <f t="shared" si="17"/>
        <v>0</v>
      </c>
      <c r="V61" s="382">
        <f t="shared" si="17"/>
        <v>0</v>
      </c>
      <c r="W61" s="382">
        <f t="shared" si="17"/>
        <v>0</v>
      </c>
      <c r="X61" s="382">
        <f t="shared" si="17"/>
        <v>0</v>
      </c>
      <c r="Y61" s="382">
        <f t="shared" si="17"/>
        <v>0</v>
      </c>
      <c r="Z61" s="382">
        <f t="shared" si="17"/>
        <v>0</v>
      </c>
      <c r="AA61" s="382">
        <f t="shared" si="17"/>
        <v>0</v>
      </c>
      <c r="AB61" s="382">
        <f t="shared" si="17"/>
        <v>0</v>
      </c>
      <c r="AC61" s="382">
        <f t="shared" si="17"/>
        <v>0</v>
      </c>
      <c r="AD61" s="382">
        <f t="shared" si="17"/>
        <v>0</v>
      </c>
      <c r="AE61" s="382">
        <f t="shared" si="17"/>
        <v>0</v>
      </c>
      <c r="AF61" s="382">
        <f t="shared" si="17"/>
        <v>0</v>
      </c>
      <c r="AG61" s="382">
        <f t="shared" si="17"/>
        <v>0</v>
      </c>
    </row>
    <row r="62" spans="1:33" s="240" customFormat="1">
      <c r="B62" s="240" t="str">
        <f>B56</f>
        <v>기말</v>
      </c>
      <c r="C62" s="365">
        <f>C59+C60-C61</f>
        <v>1635585.8690956454</v>
      </c>
      <c r="D62" s="365">
        <f t="shared" ref="D62:AG62" si="18">D59+D60-D61</f>
        <v>538410.91494770977</v>
      </c>
      <c r="E62" s="365">
        <f t="shared" si="18"/>
        <v>538410.91494770977</v>
      </c>
      <c r="F62" s="365">
        <f t="shared" si="18"/>
        <v>538410.91494770977</v>
      </c>
      <c r="G62" s="365">
        <f t="shared" si="18"/>
        <v>538410.91494770977</v>
      </c>
      <c r="H62" s="365">
        <f t="shared" si="18"/>
        <v>538410.91494770977</v>
      </c>
      <c r="I62" s="365">
        <f t="shared" si="18"/>
        <v>538410.91494770977</v>
      </c>
      <c r="J62" s="365">
        <f t="shared" si="18"/>
        <v>538410.91494770977</v>
      </c>
      <c r="K62" s="365">
        <f t="shared" si="18"/>
        <v>538410.91494770977</v>
      </c>
      <c r="L62" s="365">
        <f t="shared" si="18"/>
        <v>538410.91494770977</v>
      </c>
      <c r="M62" s="365">
        <f t="shared" si="18"/>
        <v>538410.91494770977</v>
      </c>
      <c r="N62" s="365">
        <f t="shared" si="18"/>
        <v>538410.91494770977</v>
      </c>
      <c r="O62" s="365">
        <f t="shared" si="18"/>
        <v>538410.91494770977</v>
      </c>
      <c r="P62" s="365">
        <f t="shared" si="18"/>
        <v>538410.91494770977</v>
      </c>
      <c r="Q62" s="365">
        <f t="shared" si="18"/>
        <v>538410.91494770977</v>
      </c>
      <c r="R62" s="365">
        <f t="shared" si="18"/>
        <v>538410.91494770977</v>
      </c>
      <c r="S62" s="365">
        <f t="shared" si="18"/>
        <v>538410.91494770977</v>
      </c>
      <c r="T62" s="365">
        <f t="shared" si="18"/>
        <v>538410.91494770977</v>
      </c>
      <c r="U62" s="365">
        <f t="shared" si="18"/>
        <v>538410.91494770977</v>
      </c>
      <c r="V62" s="365">
        <f t="shared" si="18"/>
        <v>538410.91494770977</v>
      </c>
      <c r="W62" s="365">
        <f t="shared" si="18"/>
        <v>538410.91494770977</v>
      </c>
      <c r="X62" s="365">
        <f t="shared" si="18"/>
        <v>538410.91494770977</v>
      </c>
      <c r="Y62" s="365">
        <f t="shared" si="18"/>
        <v>538410.91494770977</v>
      </c>
      <c r="Z62" s="365">
        <f t="shared" si="18"/>
        <v>538410.91494770977</v>
      </c>
      <c r="AA62" s="365">
        <f t="shared" si="18"/>
        <v>538410.91494770977</v>
      </c>
      <c r="AB62" s="365">
        <f t="shared" si="18"/>
        <v>538410.91494770977</v>
      </c>
      <c r="AC62" s="365">
        <f t="shared" si="18"/>
        <v>538410.91494770977</v>
      </c>
      <c r="AD62" s="365">
        <f t="shared" si="18"/>
        <v>538410.91494770977</v>
      </c>
      <c r="AE62" s="365">
        <f t="shared" si="18"/>
        <v>538410.91494770977</v>
      </c>
      <c r="AF62" s="365">
        <f t="shared" si="18"/>
        <v>538410.91494770977</v>
      </c>
      <c r="AG62" s="365">
        <f t="shared" si="18"/>
        <v>538410.91494770977</v>
      </c>
    </row>
    <row r="63" spans="1:33" s="394" customFormat="1"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  <c r="AA63" s="398"/>
      <c r="AB63" s="398"/>
      <c r="AC63" s="398"/>
      <c r="AD63" s="398"/>
      <c r="AE63" s="398"/>
      <c r="AF63" s="398"/>
      <c r="AG63" s="398"/>
    </row>
    <row r="64" spans="1:33" s="395" customFormat="1">
      <c r="A64" s="392" t="s">
        <v>95</v>
      </c>
      <c r="B64" s="392"/>
      <c r="C64" s="392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406"/>
    </row>
    <row r="65" spans="1:33" s="394" customFormat="1">
      <c r="A65" s="240"/>
      <c r="B65" s="240" t="s">
        <v>96</v>
      </c>
      <c r="C65" s="417">
        <f>-(C56+C62)</f>
        <v>-4534821.7880000006</v>
      </c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</row>
    <row r="66" spans="1:33" s="394" customFormat="1"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  <c r="AA66" s="398"/>
      <c r="AB66" s="398"/>
      <c r="AC66" s="398"/>
      <c r="AD66" s="398"/>
      <c r="AE66" s="398"/>
      <c r="AF66" s="398"/>
      <c r="AG66" s="398"/>
    </row>
    <row r="67" spans="1:33" s="399" customFormat="1">
      <c r="D67" s="407"/>
      <c r="E67" s="407"/>
      <c r="F67" s="407"/>
      <c r="G67" s="407"/>
      <c r="H67" s="407"/>
      <c r="I67" s="407"/>
      <c r="J67" s="407"/>
      <c r="K67" s="407"/>
      <c r="L67" s="407"/>
      <c r="M67" s="407"/>
      <c r="N67" s="407"/>
      <c r="O67" s="407"/>
      <c r="P67" s="407"/>
      <c r="Q67" s="407"/>
      <c r="R67" s="407"/>
      <c r="S67" s="407"/>
      <c r="T67" s="407"/>
      <c r="U67" s="407"/>
      <c r="V67" s="407"/>
      <c r="W67" s="407"/>
      <c r="X67" s="407"/>
      <c r="Y67" s="407"/>
      <c r="Z67" s="407"/>
      <c r="AA67" s="407"/>
      <c r="AB67" s="407"/>
      <c r="AC67" s="407"/>
      <c r="AD67" s="407"/>
      <c r="AE67" s="407"/>
      <c r="AF67" s="407"/>
      <c r="AG67" s="407"/>
    </row>
    <row r="68" spans="1:33" s="240" customFormat="1">
      <c r="A68" s="240" t="s">
        <v>97</v>
      </c>
      <c r="D68" s="372">
        <f t="shared" ref="D68:AG68" si="19">D56+D34</f>
        <v>4180607.1432330487</v>
      </c>
      <c r="E68" s="372">
        <f t="shared" si="19"/>
        <v>4180607.1432330487</v>
      </c>
      <c r="F68" s="372">
        <f t="shared" si="19"/>
        <v>4201187.165665918</v>
      </c>
      <c r="G68" s="372">
        <f t="shared" si="19"/>
        <v>4201187.165665918</v>
      </c>
      <c r="H68" s="372">
        <f t="shared" si="19"/>
        <v>4227145.0430987878</v>
      </c>
      <c r="I68" s="372">
        <f t="shared" si="19"/>
        <v>4227145.0430987878</v>
      </c>
      <c r="J68" s="372">
        <f t="shared" si="19"/>
        <v>4258749.6682816576</v>
      </c>
      <c r="K68" s="372">
        <f t="shared" si="19"/>
        <v>4258749.6682816576</v>
      </c>
      <c r="L68" s="372">
        <f t="shared" si="19"/>
        <v>4296283.378602027</v>
      </c>
      <c r="M68" s="372">
        <f t="shared" si="19"/>
        <v>4296283.378602027</v>
      </c>
      <c r="N68" s="372">
        <f t="shared" si="19"/>
        <v>4340042.6283167712</v>
      </c>
      <c r="O68" s="372">
        <f t="shared" si="19"/>
        <v>4340042.6283167712</v>
      </c>
      <c r="P68" s="372">
        <f t="shared" si="19"/>
        <v>4390338.6943956092</v>
      </c>
      <c r="Q68" s="372">
        <f t="shared" si="19"/>
        <v>4390338.6943956092</v>
      </c>
      <c r="R68" s="372">
        <f t="shared" si="19"/>
        <v>3026872.8173936117</v>
      </c>
      <c r="S68" s="372">
        <f t="shared" si="19"/>
        <v>3026872.8173936117</v>
      </c>
      <c r="T68" s="372">
        <f t="shared" si="19"/>
        <v>3178216.4582632924</v>
      </c>
      <c r="U68" s="372">
        <f t="shared" si="19"/>
        <v>3178216.4582632924</v>
      </c>
      <c r="V68" s="372">
        <f t="shared" si="19"/>
        <v>3337127.2811764572</v>
      </c>
      <c r="W68" s="372">
        <f t="shared" si="19"/>
        <v>3337127.2811764572</v>
      </c>
      <c r="X68" s="372">
        <f t="shared" si="19"/>
        <v>3503983.64523528</v>
      </c>
      <c r="Y68" s="372">
        <f t="shared" si="19"/>
        <v>3503983.64523528</v>
      </c>
      <c r="Z68" s="372">
        <f t="shared" si="19"/>
        <v>3679182.8274970441</v>
      </c>
      <c r="AA68" s="372">
        <f t="shared" si="19"/>
        <v>3679182.8274970441</v>
      </c>
      <c r="AB68" s="372">
        <f t="shared" si="19"/>
        <v>3863141.9688718962</v>
      </c>
      <c r="AC68" s="372">
        <f t="shared" si="19"/>
        <v>3863141.9688718962</v>
      </c>
      <c r="AD68" s="372">
        <f t="shared" si="19"/>
        <v>4056299.0673154909</v>
      </c>
      <c r="AE68" s="372">
        <f t="shared" si="19"/>
        <v>4056299.0673154909</v>
      </c>
      <c r="AF68" s="372">
        <f t="shared" si="19"/>
        <v>4259114.0206812657</v>
      </c>
      <c r="AG68" s="372">
        <f t="shared" si="19"/>
        <v>4259114.0206812657</v>
      </c>
    </row>
    <row r="69" spans="1:33" s="240" customFormat="1">
      <c r="A69" s="240" t="s">
        <v>137</v>
      </c>
      <c r="D69" s="366">
        <f>사업개요!$O$8+C49+D39-SUM(D44:D45)</f>
        <v>4333195.7182539999</v>
      </c>
      <c r="E69" s="366">
        <f ca="1">사업개요!$O$8+D49+E39-SUM(E44:E45)</f>
        <v>4381696.3622436086</v>
      </c>
      <c r="F69" s="366">
        <f ca="1">사업개요!$O$8+E49+F39-SUM(F44:F45)</f>
        <v>4409358.7888468597</v>
      </c>
      <c r="G69" s="366">
        <f ca="1">사업개요!$O$8+F49+G39-SUM(G44:G45)</f>
        <v>4400328.2158647897</v>
      </c>
      <c r="H69" s="366">
        <f ca="1">사업개요!$O$8+G49+H39-SUM(H44:H45)</f>
        <v>4433737.5580485733</v>
      </c>
      <c r="I69" s="366">
        <f ca="1">사업개요!$O$8+H49+I39-SUM(I44:I45)</f>
        <v>4413381.3154424569</v>
      </c>
      <c r="J69" s="366">
        <f ca="1">사업개요!$O$8+I49+J39-SUM(J44:J45)</f>
        <v>4452825.1510738339</v>
      </c>
      <c r="K69" s="366">
        <f ca="1">사업개요!$O$8+J49+K39-SUM(K44:K45)</f>
        <v>4433794.2551416</v>
      </c>
      <c r="L69" s="366">
        <f ca="1">사업개요!$O$8+K49+L39-SUM(L44:L45)</f>
        <v>4479574.5441247011</v>
      </c>
      <c r="M69" s="366">
        <f ca="1">사업개요!$O$8+L49+M39-SUM(M44:M45)</f>
        <v>4455165.4738345137</v>
      </c>
      <c r="N69" s="366">
        <f ca="1">사업개요!$O$8+M49+N39-SUM(N44:N45)</f>
        <v>4495200.3386250315</v>
      </c>
      <c r="O69" s="366">
        <f ca="1">사업개요!$O$8+N49+O39-SUM(O44:O45)</f>
        <v>4465144.2183619738</v>
      </c>
      <c r="P69" s="366">
        <f ca="1">사업개요!$O$8+O49+P39-SUM(P44:P45)</f>
        <v>4524564.4536394775</v>
      </c>
      <c r="Q69" s="366">
        <f ca="1">사업개요!$O$8+P49+Q39-SUM(Q44:Q45)</f>
        <v>4488578.9650084274</v>
      </c>
      <c r="R69" s="366">
        <f ca="1">사업개요!$O$8+Q49+R39-SUM(R44:R45)</f>
        <v>3136140.9592506713</v>
      </c>
      <c r="S69" s="366">
        <f ca="1">사업개요!$O$8+R49+S39-SUM(S44:S45)</f>
        <v>4532632.4217875721</v>
      </c>
      <c r="T69" s="366">
        <f ca="1">사업개요!$O$8+S49+T39-SUM(T44:T45)</f>
        <v>4693981.1454036264</v>
      </c>
      <c r="U69" s="366">
        <f ca="1">사업개요!$O$8+T49+U39-SUM(U44:U45)</f>
        <v>4556678.3039834388</v>
      </c>
      <c r="V69" s="366">
        <f ca="1">사업개요!$O$8+U49+V39-SUM(V44:V45)</f>
        <v>4726115.478378322</v>
      </c>
      <c r="W69" s="366">
        <f ca="1">사업개요!$O$8+V49+W39-SUM(W44:W45)</f>
        <v>4581948.765933007</v>
      </c>
      <c r="X69" s="366">
        <f ca="1">사업개요!$O$8+W49+X39-SUM(X44:X45)</f>
        <v>4753927.5783338733</v>
      </c>
      <c r="Y69" s="366">
        <f ca="1">사업개요!$O$8+X49+Y39-SUM(Y44:Y45)</f>
        <v>4602553.8397295363</v>
      </c>
      <c r="Z69" s="366">
        <f ca="1">사업개요!$O$8+Y49+Z39-SUM(Z44:Z45)</f>
        <v>4789402.1864288077</v>
      </c>
      <c r="AA69" s="366">
        <f ca="1">사업개요!$O$8+Z49+AA39-SUM(AA44:AA45)</f>
        <v>4630461.1099360231</v>
      </c>
      <c r="AB69" s="366">
        <f ca="1">사업개요!$O$8+AA49+AB39-SUM(AB44:AB45)</f>
        <v>4826673.6649408527</v>
      </c>
      <c r="AC69" s="366">
        <f ca="1">사업개요!$O$8+AB49+AC39-SUM(AC44:AC45)</f>
        <v>4650363.7310737409</v>
      </c>
      <c r="AD69" s="366">
        <f ca="1">사업개요!$O$8+AC49+AD39-SUM(AD44:AD45)</f>
        <v>4856408.9708244391</v>
      </c>
      <c r="AE69" s="366">
        <f ca="1">사업개요!$O$8+AD49+AE39-SUM(AE44:AE45)</f>
        <v>4681179.325122294</v>
      </c>
      <c r="AF69" s="366">
        <f ca="1">사업개요!$O$8+AE49+AF39-SUM(AF44:AF45)</f>
        <v>4897549.1536031188</v>
      </c>
      <c r="AG69" s="391"/>
    </row>
    <row r="71" spans="1:33">
      <c r="A71" s="83" t="s">
        <v>27</v>
      </c>
      <c r="B71" s="84"/>
      <c r="C71" s="85">
        <f ca="1">IRR(C72:AG72)</f>
        <v>0.10733556847096182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4"/>
    </row>
    <row r="72" spans="1:33">
      <c r="A72" s="15" t="s">
        <v>28</v>
      </c>
      <c r="B72" s="16"/>
      <c r="C72" s="17">
        <f>-사업개요!C18</f>
        <v>-1512411.0790956453</v>
      </c>
      <c r="D72" s="17">
        <f>D45+D46</f>
        <v>1097174.9541479356</v>
      </c>
      <c r="E72" s="17">
        <f t="shared" ref="E72:AF72" ca="1" si="20">E45+E46</f>
        <v>48500.643989608681</v>
      </c>
      <c r="F72" s="17">
        <f t="shared" ca="1" si="20"/>
        <v>65407.360592859826</v>
      </c>
      <c r="G72" s="17">
        <f t="shared" ca="1" si="20"/>
        <v>56376.787610789586</v>
      </c>
      <c r="H72" s="17">
        <f t="shared" ca="1" si="20"/>
        <v>78492.634294573392</v>
      </c>
      <c r="I72" s="17">
        <f t="shared" ca="1" si="20"/>
        <v>58136.391688456672</v>
      </c>
      <c r="J72" s="17">
        <f t="shared" ca="1" si="20"/>
        <v>85722.057044833229</v>
      </c>
      <c r="K72" s="17">
        <f t="shared" ca="1" si="20"/>
        <v>66691.161112600355</v>
      </c>
      <c r="L72" s="17">
        <f t="shared" ca="1" si="20"/>
        <v>100020.37130695058</v>
      </c>
      <c r="M72" s="17">
        <f t="shared" ca="1" si="20"/>
        <v>75611.301016763871</v>
      </c>
      <c r="N72" s="17">
        <f t="shared" ca="1" si="20"/>
        <v>102572.53307909341</v>
      </c>
      <c r="O72" s="17">
        <f t="shared" ca="1" si="20"/>
        <v>72516.412816036958</v>
      </c>
      <c r="P72" s="17">
        <f t="shared" ca="1" si="20"/>
        <v>118209.33372894334</v>
      </c>
      <c r="Q72" s="17">
        <f t="shared" ca="1" si="20"/>
        <v>82223.845097893151</v>
      </c>
      <c r="R72" s="17">
        <f t="shared" ca="1" si="20"/>
        <v>-1284627.8407426896</v>
      </c>
      <c r="S72" s="17">
        <f t="shared" ca="1" si="20"/>
        <v>111863.62179421197</v>
      </c>
      <c r="T72" s="17">
        <f t="shared" ca="1" si="20"/>
        <v>258077.98132329737</v>
      </c>
      <c r="U72" s="17">
        <f t="shared" ca="1" si="20"/>
        <v>120775.13990310952</v>
      </c>
      <c r="V72" s="17">
        <f t="shared" ca="1" si="20"/>
        <v>274321.23200667661</v>
      </c>
      <c r="W72" s="17">
        <f t="shared" ca="1" si="20"/>
        <v>130154.51956136146</v>
      </c>
      <c r="X72" s="17">
        <f t="shared" ca="1" si="20"/>
        <v>285447.69555634528</v>
      </c>
      <c r="Y72" s="17">
        <f t="shared" ca="1" si="20"/>
        <v>134073.9569520083</v>
      </c>
      <c r="Z72" s="17">
        <f t="shared" ca="1" si="20"/>
        <v>303402.38542510325</v>
      </c>
      <c r="AA72" s="17">
        <f t="shared" ca="1" si="20"/>
        <v>144461.30893231975</v>
      </c>
      <c r="AB72" s="17">
        <f t="shared" ca="1" si="20"/>
        <v>322277.94979966315</v>
      </c>
      <c r="AC72" s="17">
        <f t="shared" ca="1" si="20"/>
        <v>145968.01593255147</v>
      </c>
      <c r="AD72" s="17">
        <f t="shared" ca="1" si="20"/>
        <v>332697.54583889042</v>
      </c>
      <c r="AE72" s="17">
        <f t="shared" ca="1" si="20"/>
        <v>157467.90013674571</v>
      </c>
      <c r="AF72" s="17">
        <f t="shared" ca="1" si="20"/>
        <v>353556.23328099318</v>
      </c>
      <c r="AG72" s="18">
        <f ca="1">AG45+AG46+AG49</f>
        <v>738678.31744874548</v>
      </c>
    </row>
  </sheetData>
  <phoneticPr fontId="2" type="noConversion"/>
  <pageMargins left="0.25" right="0.25" top="0.75" bottom="0.75" header="0.3" footer="0.3"/>
  <pageSetup paperSize="8" scale="5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사업개요</vt:lpstr>
      <vt:lpstr>사업자작성1(호별개요)</vt:lpstr>
      <vt:lpstr>사업자작성2(건축사업비산출)</vt:lpstr>
      <vt:lpstr>사업자작성3(전체사업비산출)</vt:lpstr>
      <vt:lpstr>캐시플로우</vt:lpstr>
      <vt:lpstr>캐시플로우!Print_Area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2019-05-28T00:03:37Z</cp:lastPrinted>
  <dcterms:created xsi:type="dcterms:W3CDTF">2018-09-13T05:18:32Z</dcterms:created>
  <dcterms:modified xsi:type="dcterms:W3CDTF">2019-05-31T05:03:40Z</dcterms:modified>
</cp:coreProperties>
</file>